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Mục lục" sheetId="1" r:id="rId1"/>
    <sheet name="Vẽ tiến độ" sheetId="2" r:id="rId2"/>
    <sheet name="Tự động tính" sheetId="3" r:id="rId3"/>
    <sheet name="Tự động vẽ" sheetId="4" r:id="rId4"/>
    <sheet name="Cập nhật tiến độ (ngày dữ liệu)" sheetId="5" r:id="rId5"/>
    <sheet name="Cập nhật trạng thái" sheetId="6" r:id="rId6"/>
    <sheet name="Ràng buộc" sheetId="7" r:id="rId7"/>
    <sheet name="Ngôn ngữ tiêu đề" sheetId="8" r:id="rId8"/>
    <sheet name="Xuất XML (P6-MSP)" sheetId="9" r:id="rId9"/>
    <sheet name="AI Lập tiến độ" sheetId="10" r:id="rId10"/>
    <sheet name="Đề xuất tiến độ" sheetId="11" r:id="rId11"/>
    <sheet name="Kiểm tra chất lượng" sheetId="12" r:id="rId12"/>
    <sheet name="Báo cáo EVM" sheetId="13" r:id="rId13"/>
    <sheet name="Bảng chênh lệch tiến độ" sheetId="14" r:id="rId14"/>
    <sheet name="Kế hoạch 2 tuần tới" sheetId="15" r:id="rId15"/>
    <sheet name="Kế hoạch 3 tuần tới" sheetId="16" r:id="rId16"/>
    <sheet name="Sinh tiến độ (khoảng tùy chọn)" sheetId="17" r:id="rId17"/>
    <sheet name="Snapshot tuần" sheetId="18" r:id="rId18"/>
    <sheet name="Nhân lực" sheetId="19" r:id="rId19"/>
    <sheet name="Cân bằng nhân lực" sheetId="20" r:id="rId20"/>
    <sheet name="Dòng tiền" sheetId="21" r:id="rId21"/>
    <sheet name="Cắt tối ưu" sheetId="22" r:id="rId22"/>
    <sheet name="Thống kê thép" sheetId="23" r:id="rId23"/>
    <sheet name="Cắt thanh 1D" sheetId="24" r:id="rId24"/>
    <sheet name="Cắt thanh 1D · CatThanh_Thanh" sheetId="25" r:id="rId25"/>
    <sheet name="Cắt tấm 2D" sheetId="26" r:id="rId26"/>
    <sheet name="Cắt tấm 2D · CatTam_Tam" sheetId="27" r:id="rId27"/>
    <sheet name="Mẫu Cắt thép" sheetId="28" r:id="rId28"/>
    <sheet name="Mẫu Cắt thanh" sheetId="29" r:id="rId29"/>
    <sheet name="Mẫu Cắt tấm" sheetId="30" r:id="rId30"/>
    <sheet name="Tạo Nhật ký" sheetId="31" r:id="rId31"/>
    <sheet name="Xuất danh mục" sheetId="32" r:id="rId32"/>
    <sheet name="Chọn ngày nghỉ" sheetId="33" r:id="rId33"/>
    <sheet name="Mẫu NT công việc" sheetId="34" r:id="rId34"/>
    <sheet name="Mẫu NT vật liệu" sheetId="35" r:id="rId35"/>
    <sheet name="Mẫu Nhật ký" sheetId="36" r:id="rId36"/>
    <sheet name="DATA" sheetId="37" r:id="rId37"/>
    <sheet name="Kế hoạch TN" sheetId="38" r:id="rId38"/>
    <sheet name="Kế hoạch NT" sheetId="39" r:id="rId39"/>
    <sheet name="Biên bản NT" sheetId="40" r:id="rId40"/>
    <sheet name="AI Báo giá XD" sheetId="41" r:id="rId41"/>
    <sheet name="Thanh toán theo kỳ" sheetId="42" r:id="rId42"/>
    <sheet name="So sánh BoQ" sheetId="43" r:id="rId43"/>
    <sheet name="Bù giá" sheetId="44" r:id="rId44"/>
    <sheet name="Cầu nối dự toán" sheetId="45" r:id="rId45"/>
    <sheet name="Truy vấn dữ liệu" sheetId="46" r:id="rId46"/>
    <sheet name="Sổ phát sinh" sheetId="47" r:id="rId47"/>
    <sheet name="Gửi Định dạng" sheetId="48" r:id="rId48"/>
    <sheet name="Đánh số" sheetId="49" r:id="rId49"/>
    <sheet name="Số La Mã" sheetId="50" r:id="rId50"/>
    <sheet name="Chữ HOA" sheetId="51" r:id="rId51"/>
    <sheet name="Chữ thường" sheetId="52" r:id="rId52"/>
    <sheet name="Đánh Level" sheetId="53" r:id="rId53"/>
    <sheet name="Chấm tròn đặc" sheetId="54" r:id="rId54"/>
    <sheet name="Sao đặc" sheetId="55" r:id="rId55"/>
    <sheet name="Gạch ngang" sheetId="56" r:id="rId56"/>
    <sheet name="Kim cương đặc" sheetId="57" r:id="rId57"/>
    <sheet name="Dấu cộng" sheetId="58" r:id="rId58"/>
    <sheet name="Hoa thị" sheetId="59" r:id="rId59"/>
    <sheet name="Checkbox" sheetId="60" r:id="rId60"/>
    <sheet name="Đã tích" sheetId="61" r:id="rId61"/>
    <sheet name="Loại" sheetId="62" r:id="rId62"/>
    <sheet name="Bỏ ký hiệu đầu dòng" sheetId="63" r:id="rId63"/>
    <sheet name="Danh sách số" sheetId="64" r:id="rId64"/>
    <sheet name="Danh sách La Mã" sheetId="65" r:id="rId65"/>
    <sheet name="Danh sách HOA" sheetId="66" r:id="rId66"/>
    <sheet name="Danh sách thường" sheetId="67" r:id="rId67"/>
    <sheet name="Bỏ đánh số danh sách" sheetId="68" r:id="rId68"/>
    <sheet name="Đa cấp 1.1.1" sheetId="69" r:id="rId69"/>
    <sheet name="Bỏ đánh số đa cấp" sheetId="70" r:id="rId70"/>
    <sheet name="Hoa đầu câu" sheetId="71" r:id="rId71"/>
    <sheet name="HOA TOÀN BỘ" sheetId="72" r:id="rId72"/>
    <sheet name="thường toàn bộ" sheetId="73" r:id="rId73"/>
    <sheet name="Hoa Đầu Mỗi Từ" sheetId="74" r:id="rId74"/>
    <sheet name="Hoa theo ngữ cảnh (AI)" sheetId="75" r:id="rId75"/>
    <sheet name="In nghiêng" sheetId="76" r:id="rId76"/>
    <sheet name="Đảo ngược" sheetId="77" r:id="rId77"/>
    <sheet name="Đổi Font" sheetId="78" r:id="rId78"/>
    <sheet name="Xoá space thừa" sheetId="79" r:id="rId79"/>
    <sheet name="Chèn text" sheetId="80" r:id="rId80"/>
    <sheet name="Xoá dấu" sheetId="81" r:id="rId81"/>
    <sheet name="Thêm dấu (AI)" sheetId="82" r:id="rId82"/>
    <sheet name="Auto format số-ngày" sheetId="83" r:id="rId83"/>
    <sheet name="Superscript m²" sheetId="84" r:id="rId84"/>
    <sheet name="Subscript H₂O" sheetId="85" r:id="rId85"/>
    <sheet name="Tìm - Thay hàng loạt…" sheetId="86" r:id="rId86"/>
    <sheet name="Dọn dữ liệu thông minh…" sheetId="87" r:id="rId87"/>
    <sheet name="Chuyển mã" sheetId="88" r:id="rId88"/>
    <sheet name="Sang Unicode" sheetId="89" r:id="rId89"/>
    <sheet name="Sang VNI" sheetId="90" r:id="rId90"/>
    <sheet name="Sang TCVN3" sheetId="91" r:id="rId91"/>
    <sheet name="Dịch ngôn ngữ" sheetId="92" r:id="rId92"/>
    <sheet name="Nhập nhanh" sheetId="93" r:id="rId93"/>
    <sheet name="Tự động hiện gợi ý" sheetId="94" r:id="rId94"/>
    <sheet name="Cài đặt nguồn dữ liệu…" sheetId="95" r:id="rId95"/>
    <sheet name="Chèn dòng" sheetId="96" r:id="rId96"/>
    <sheet name="Chèn cột" sheetId="97" r:id="rId97"/>
    <sheet name="Chèn và Sao chép" sheetId="98" r:id="rId98"/>
    <sheet name="Xoá dòng trống" sheetId="99" r:id="rId99"/>
    <sheet name="Xoá dòng ẩn" sheetId="100" r:id="rId100"/>
    <sheet name="Xoá format không dùng" sheetId="101" r:id="rId101"/>
    <sheet name="Gộp giữ data" sheetId="102" r:id="rId102"/>
    <sheet name="Gộp ô giống nhau" sheetId="103" r:id="rId103"/>
    <sheet name="Gộp dòng theo key" sheetId="104" r:id="rId104"/>
    <sheet name="Tự nhóm theo cấp" sheetId="105" r:id="rId105"/>
    <sheet name="AutoFit gộp ô" sheetId="106" r:id="rId106"/>
    <sheet name="Chọn ô hiện" sheetId="107" r:id="rId107"/>
    <sheet name="Copy-Paste hiện" sheetId="108" r:id="rId108"/>
    <sheet name="Nối chuỗi" sheetId="109" r:id="rId109"/>
    <sheet name="Nối ô gộp" sheetId="110" r:id="rId110"/>
    <sheet name="Xem công thức" sheetId="111" r:id="rId111"/>
    <sheet name="KL Tang 4" sheetId="112" r:id="rId112"/>
    <sheet name="KL Tang 5" sheetId="113" r:id="rId113"/>
    <sheet name="Truy vết Lookup" sheetId="114" r:id="rId114"/>
    <sheet name="DON GIA" sheetId="115" r:id="rId115"/>
    <sheet name="Ô phụ thuộc" sheetId="116" r:id="rId116"/>
    <sheet name="Tự động tổng" sheetId="117" r:id="rId117"/>
    <sheet name="Điền kết quả" sheetId="118" r:id="rId118"/>
    <sheet name="Tham chiếu" sheetId="119" r:id="rId119"/>
    <sheet name="DON GIA (2)" sheetId="120" r:id="rId120"/>
    <sheet name="Hàm làm tròn" sheetId="121" r:id="rId121"/>
    <sheet name="Khóa tham chiếu" sheetId="122" r:id="rId122"/>
    <sheet name="BANGTHEP" sheetId="123" r:id="rId123"/>
    <sheet name="Kiểm tra lỗi" sheetId="124" r:id="rId124"/>
    <sheet name="Tô màu Shape" sheetId="125" r:id="rId125"/>
    <sheet name="Vẽ hình chữ nhật màu" sheetId="126" r:id="rId126"/>
    <sheet name="Danh sách shape" sheetId="127" r:id="rId127"/>
    <sheet name="Đổi tên Shape" sheetId="128" r:id="rId128"/>
    <sheet name="Lấy vị trí" sheetId="129" r:id="rId129"/>
    <sheet name="Gắn nhãn liên kết" sheetId="130" r:id="rId130"/>
    <sheet name="Tiến độ mặt bằng" sheetId="131" r:id="rId131"/>
    <sheet name="Lấy mã màu" sheetId="132" r:id="rId132"/>
    <sheet name="Auto Click" sheetId="133" r:id="rId133"/>
    <sheet name="Chèn ảnh" sheetId="134" r:id="rId134"/>
    <sheet name="Chèn theo tên" sheetId="135" r:id="rId135"/>
    <sheet name="Comment ảnh" sheetId="136" r:id="rId136"/>
    <sheet name="Comment theo tên" sheetId="137" r:id="rId137"/>
    <sheet name="Chỉnh ảnh" sheetId="138" r:id="rId138"/>
    <sheet name="Chụp và Ghi chú" sheetId="139" r:id="rId139"/>
    <sheet name="Mây đa giác" sheetId="140" r:id="rId140"/>
    <sheet name="Mây quanh vùng chọn" sheetId="141" r:id="rId141"/>
    <sheet name="Danh sách tên file" sheetId="142" r:id="rId142"/>
    <sheet name="Tách bảng" sheetId="143" r:id="rId143"/>
    <sheet name="So sánh sheet" sheetId="144" r:id="rId144"/>
    <sheet name="Trộn bảng" sheetId="145" r:id="rId145"/>
    <sheet name="Đơn giá" sheetId="146" r:id="rId146"/>
    <sheet name="Đổi tên file" sheetId="147" r:id="rId147"/>
    <sheet name="Tạo Hyperlink" sheetId="148" r:id="rId148"/>
    <sheet name="Tạo Folder" sheetId="149" r:id="rId149"/>
    <sheet name="Chuyển âm thanh" sheetId="150" r:id="rId150"/>
    <sheet name="OCR file" sheetId="151" r:id="rId151"/>
    <sheet name="Trích bảng" sheetId="152" r:id="rId152"/>
    <sheet name="OCR Screen Clip" sheetId="153" r:id="rId153"/>
    <sheet name="In hàng loạt" sheetId="154" r:id="rId154"/>
    <sheet name="Đặt lề trang" sheetId="155" r:id="rId155"/>
    <sheet name="Sheet → PDF" sheetId="156" r:id="rId156"/>
    <sheet name="Gửi Email" sheetId="157" r:id="rId157"/>
    <sheet name="Mẫu Email" sheetId="158" r:id="rId158"/>
    <sheet name="Trộn sang Word" sheetId="159" r:id="rId159"/>
    <sheet name="Tạo tiêu đề" sheetId="160" r:id="rId160"/>
    <sheet name="Nổi bật hàng cột" sheetId="161" r:id="rId161"/>
    <sheet name="Danh sách Sheet" sheetId="162" r:id="rId162"/>
    <sheet name="Đổi tên Sheet" sheetId="163" r:id="rId163"/>
    <sheet name="Đánh số Sheet" sheetId="164" r:id="rId164"/>
    <sheet name="Bỏ dấu Sheet" sheetId="165" r:id="rId165"/>
    <sheet name="Khối lượng móng" sheetId="166" r:id="rId166"/>
    <sheet name="Đài móng - Cọc" sheetId="167" r:id="rId167"/>
    <sheet name="Nghiệm thu thép" sheetId="168" r:id="rId168"/>
    <sheet name="Phụ lục 01" sheetId="169" r:id="rId169"/>
    <sheet name="Ẩn Sheet khác" sheetId="170" r:id="rId170"/>
    <sheet name="KL-Mong" sheetId="171" r:id="rId171"/>
    <sheet name="KL-Than" sheetId="172" r:id="rId172"/>
    <sheet name="DonGia-NoiBo" sheetId="173" r:id="rId173"/>
    <sheet name="Chietinh" sheetId="174" r:id="rId174"/>
    <sheet name="Phuluc" sheetId="175" r:id="rId175"/>
    <sheet name="Nhap1" sheetId="176" r:id="rId176"/>
    <sheet name="Hiện tất cả" sheetId="177" r:id="rId177"/>
    <sheet name="Chietinh-VT" sheetId="178" state="hidden" r:id="rId178"/>
    <sheet name="Giavatlieu" sheetId="179" state="hidden" r:id="rId179"/>
    <sheet name="DonGia-CT" sheetId="180" state="hidden" r:id="rId180"/>
    <sheet name="KL" sheetId="181" r:id="rId181"/>
    <sheet name="Phuluc (2)" sheetId="182" r:id="rId182"/>
    <sheet name="Xem ảnh" sheetId="183" r:id="rId183"/>
    <sheet name="Ẩn dòng trống" sheetId="184" r:id="rId184"/>
    <sheet name="Giải thích công thức (Coach)" sheetId="185" r:id="rId185"/>
    <sheet name="NK đổ BT" sheetId="186" r:id="rId186"/>
    <sheet name="Sửa lỗi công thức" sheetId="187" r:id="rId187"/>
    <sheet name="DonGia" sheetId="188" r:id="rId188"/>
    <sheet name="Ngữ pháp" sheetId="189" r:id="rId189"/>
    <sheet name="Giải đề" sheetId="190" r:id="rId190"/>
    <sheet name="DVD Chat" sheetId="191" r:id="rId191"/>
  </sheets>
  <definedNames>
    <definedName name="MaCV">'NK đổ BT'!$B$4:$B$10</definedName>
    <definedName name="Thang">'NK đổ BT'!$C$4:$C$10</definedName>
    <definedName name="KhoiLuong">'NK đổ BT'!$D$4:$D$10</definedName>
  </definedNames>
  <calcPr calcId="191029" fullCalcOnLoad="1"/>
</workbook>
</file>

<file path=xl/styles.xml><?xml version="1.0" encoding="utf-8"?>
<styleSheet xmlns="http://schemas.openxmlformats.org/spreadsheetml/2006/main">
  <numFmts count="8">
    <numFmt numFmtId="164" formatCode="dd/mm/yyyy"/>
    <numFmt numFmtId="165" formatCode="#,##0.00"/>
    <numFmt numFmtId="166" formatCode="#,##0"/>
    <numFmt numFmtId="167" formatCode="#,##0.0"/>
    <numFmt numFmtId="168" formatCode="#,##0.0000"/>
    <numFmt numFmtId="169" formatCode="#,##0.00000"/>
    <numFmt numFmtId="170" formatCode="#,##0.000"/>
    <numFmt numFmtId="171" formatCode="0.0%"/>
  </numFmts>
  <fonts count="19">
    <font>
      <sz val="11"/>
      <name val="Calibri"/>
      <family val="2"/>
    </font>
    <font>
      <b/>
      <sz val="11"/>
      <name val="Calibri"/>
      <family val="2"/>
    </font>
    <font>
      <sz val="11"/>
      <color rgb="FF4CC94C"/>
      <name val="Calibri"/>
      <family val="2"/>
    </font>
    <font>
      <sz val="11"/>
      <color rgb="FF000000"/>
      <name val="Calibri"/>
      <family val="2"/>
    </font>
    <font>
      <b/>
      <sz val="11"/>
      <color rgb="FFFFFFFF"/>
      <name val="Calibri"/>
      <family val="2"/>
    </font>
    <font>
      <b/>
      <sz val="11"/>
      <color rgb="FFC02A2C"/>
      <name val="Calibri"/>
      <family val="2"/>
    </font>
    <font>
      <sz val="11"/>
      <color rgb="FFC02A2C"/>
      <name val="Calibri"/>
      <family val="2"/>
    </font>
    <font>
      <i/>
      <sz val="11"/>
      <name val="Calibri"/>
      <family val="2"/>
    </font>
    <font>
      <sz val="11"/>
      <color rgb="FF0563C1"/>
      <name val="Calibri"/>
      <family val="2"/>
    </font>
    <font>
      <i/>
      <sz val="11"/>
      <color rgb="FF595959"/>
      <name val="Calibri"/>
      <family val="2"/>
    </font>
    <font>
      <sz val="11"/>
      <color rgb="FF1F3864"/>
      <name val="Calibri"/>
      <family val="2"/>
    </font>
    <font>
      <i/>
      <sz val="11"/>
      <color rgb="FFC65911"/>
      <name val="Calibri"/>
      <family val="2"/>
    </font>
    <font>
      <b/>
      <sz val="11"/>
      <color rgb="FF595959"/>
      <name val="Calibri"/>
      <family val="2"/>
    </font>
    <font>
      <i/>
      <sz val="11"/>
      <color rgb="FF7F7F7F"/>
      <name val="Calibri"/>
      <family val="2"/>
    </font>
    <font>
      <b/>
      <sz val="11"/>
      <color rgb="FFC00000"/>
      <name val="Calibri"/>
      <family val="2"/>
    </font>
    <font>
      <b/>
      <sz val="14"/>
      <color rgb="FF1F4E79"/>
      <name val="Calibri"/>
      <family val="2"/>
    </font>
    <font>
      <u/>
      <sz val="11"/>
      <color rgb="FF0563C1"/>
      <name val="Calibri"/>
      <family val="2"/>
    </font>
    <font>
      <sz val="11"/>
      <color rgb="FF808080"/>
      <name val="Calibri"/>
      <family val="2"/>
    </font>
    <font>
      <b/>
      <u/>
      <sz val="11"/>
      <color rgb="FF0563C1"/>
      <name val="Calibri"/>
      <family val="2"/>
    </font>
  </fonts>
  <fills count="27">
    <fill>
      <patternFill patternType="none"/>
    </fill>
    <fill>
      <patternFill patternType="gray125"/>
    </fill>
    <fill>
      <patternFill patternType="solid">
        <fgColor rgb="FFDDEBF7"/>
        <bgColor indexed="64"/>
      </patternFill>
    </fill>
    <fill>
      <patternFill patternType="solid">
        <fgColor rgb="FFDDE6F0"/>
        <bgColor indexed="64"/>
      </patternFill>
    </fill>
    <fill>
      <patternFill patternType="solid">
        <fgColor rgb="FF30527A"/>
        <bgColor indexed="64"/>
      </patternFill>
    </fill>
    <fill>
      <patternFill patternType="solid">
        <fgColor rgb="FF144270"/>
        <bgColor indexed="64"/>
      </patternFill>
    </fill>
    <fill>
      <patternFill patternType="solid">
        <fgColor rgb="FFFFF4E8"/>
        <bgColor indexed="64"/>
      </patternFill>
    </fill>
    <fill>
      <patternFill patternType="solid">
        <fgColor rgb="FFFFF2CC"/>
        <bgColor indexed="64"/>
      </patternFill>
    </fill>
    <fill>
      <patternFill patternType="solid">
        <fgColor rgb="FFD9E2F3"/>
        <bgColor indexed="64"/>
      </patternFill>
    </fill>
    <fill>
      <patternFill patternType="solid">
        <fgColor rgb="FFFFFFCC"/>
        <bgColor indexed="64"/>
      </patternFill>
    </fill>
    <fill>
      <patternFill patternType="solid">
        <fgColor rgb="FFF2F2F2"/>
        <bgColor indexed="64"/>
      </patternFill>
    </fill>
    <fill>
      <patternFill patternType="solid">
        <fgColor rgb="FFD9D9D9"/>
        <bgColor indexed="64"/>
      </patternFill>
    </fill>
    <fill>
      <patternFill patternType="solid">
        <fgColor rgb="FFF8CBAD"/>
        <bgColor indexed="64"/>
      </patternFill>
    </fill>
    <fill>
      <patternFill patternType="solid">
        <fgColor rgb="FFFFE699"/>
        <bgColor indexed="64"/>
      </patternFill>
    </fill>
    <fill>
      <patternFill patternType="solid">
        <fgColor rgb="FFC6E0B4"/>
        <bgColor indexed="64"/>
      </patternFill>
    </fill>
    <fill>
      <patternFill patternType="solid">
        <fgColor rgb="FFE2EFDA"/>
        <bgColor indexed="64"/>
      </patternFill>
    </fill>
    <fill>
      <patternFill patternType="solid">
        <fgColor rgb="FFD9E6F2"/>
        <bgColor indexed="64"/>
      </patternFill>
    </fill>
    <fill>
      <patternFill patternType="solid">
        <fgColor rgb="FFFFC000"/>
        <bgColor indexed="64"/>
      </patternFill>
    </fill>
    <fill>
      <patternFill patternType="solid">
        <fgColor rgb="FF00B050"/>
        <bgColor indexed="64"/>
      </patternFill>
    </fill>
    <fill>
      <patternFill patternType="solid">
        <fgColor rgb="FF0070C0"/>
        <bgColor indexed="64"/>
      </patternFill>
    </fill>
    <fill>
      <patternFill patternType="solid">
        <fgColor rgb="FFFFFF00"/>
        <bgColor indexed="64"/>
      </patternFill>
    </fill>
    <fill>
      <patternFill patternType="solid">
        <fgColor rgb="FFA9BFD8"/>
        <bgColor indexed="64"/>
      </patternFill>
    </fill>
    <fill>
      <patternFill patternType="solid">
        <fgColor rgb="FFFCE4D6"/>
        <bgColor indexed="64"/>
      </patternFill>
    </fill>
    <fill>
      <patternFill patternType="solid">
        <fgColor rgb="FFE3EFE7"/>
        <bgColor indexed="64"/>
      </patternFill>
    </fill>
    <fill>
      <patternFill patternType="solid">
        <fgColor rgb="FF80FFFF"/>
        <bgColor indexed="64"/>
      </patternFill>
    </fill>
    <fill>
      <patternFill patternType="solid">
        <fgColor rgb="FF6FF5FB"/>
        <bgColor indexed="64"/>
      </patternFill>
    </fill>
    <fill>
      <patternFill patternType="solid">
        <fgColor rgb="FFEDEDED"/>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6">
    <xf numFmtId="0" fontId="0" fillId="0" borderId="0" xfId="0"/>
    <xf numFmtId="0" fontId="1" fillId="0" borderId="0" xfId="0" applyFont="1"/>
    <xf numFmtId="0" fontId="1" fillId="2" borderId="1" xfId="0" applyFont="1" applyFill="1" applyBorder="1" applyAlignment="1">
      <alignment horizontal="center" wrapText="1"/>
    </xf>
    <xf numFmtId="0" fontId="1" fillId="2" borderId="1" xfId="0" applyFont="1" applyFill="1" applyBorder="1" applyAlignment="1">
      <alignment horizontal="center"/>
    </xf>
    <xf numFmtId="0" fontId="0" fillId="0" borderId="1" xfId="0" applyBorder="1"/>
    <xf numFmtId="164" fontId="0" fillId="0" borderId="1" xfId="0" applyNumberFormat="1" applyBorder="1" applyAlignment="1">
      <alignment horizontal="center"/>
    </xf>
    <xf numFmtId="0" fontId="0" fillId="0" borderId="1" xfId="0" applyBorder="1" applyAlignment="1">
      <alignment horizontal="center"/>
    </xf>
    <xf numFmtId="0" fontId="0" fillId="2" borderId="1" xfId="0" applyFill="1" applyBorder="1" applyAlignment="1">
      <alignment horizontal="center"/>
    </xf>
    <xf numFmtId="0" fontId="2" fillId="0" borderId="0" xfId="0" applyFont="1"/>
    <xf numFmtId="0" fontId="3" fillId="0" borderId="0" xfId="0" applyFont="1"/>
    <xf numFmtId="9" fontId="0" fillId="0" borderId="1" xfId="0" applyNumberFormat="1" applyBorder="1" applyAlignment="1">
      <alignment horizontal="center"/>
    </xf>
    <xf numFmtId="165" fontId="0" fillId="0" borderId="1" xfId="0" applyNumberFormat="1" applyBorder="1"/>
    <xf numFmtId="164" fontId="0" fillId="0" borderId="1" xfId="0" applyNumberFormat="1" applyBorder="1" applyAlignment="1">
      <alignment horizontal="right"/>
    </xf>
    <xf numFmtId="9" fontId="0" fillId="0" borderId="1" xfId="0" applyNumberFormat="1" applyBorder="1" applyAlignment="1">
      <alignment horizontal="right"/>
    </xf>
    <xf numFmtId="0" fontId="0" fillId="0" borderId="1" xfId="0" applyBorder="1" applyAlignment="1">
      <alignment horizontal="right"/>
    </xf>
    <xf numFmtId="166" fontId="0" fillId="0" borderId="1" xfId="0" applyNumberFormat="1" applyBorder="1" applyAlignment="1">
      <alignment horizontal="right"/>
    </xf>
    <xf numFmtId="0" fontId="1" fillId="3" borderId="1" xfId="0" applyFont="1" applyFill="1" applyBorder="1" applyAlignment="1">
      <alignment horizontal="center" wrapText="1"/>
    </xf>
    <xf numFmtId="0" fontId="4" fillId="4" borderId="0" xfId="0" applyFont="1" applyFill="1"/>
    <xf numFmtId="0" fontId="0" fillId="0" borderId="0" xfId="0"/>
    <xf numFmtId="0" fontId="4" fillId="5" borderId="0" xfId="0" applyFont="1" applyFill="1" applyAlignment="1">
      <alignment horizontal="center"/>
    </xf>
    <xf numFmtId="0" fontId="5" fillId="0" borderId="0" xfId="0" applyFont="1"/>
    <xf numFmtId="0" fontId="6" fillId="0" borderId="0" xfId="0" applyFont="1" applyAlignment="1">
      <alignment wrapText="1"/>
    </xf>
    <xf numFmtId="0" fontId="0" fillId="6" borderId="0" xfId="0" applyFill="1"/>
    <xf numFmtId="0" fontId="7" fillId="0" borderId="0" xfId="0" applyFont="1" applyAlignment="1">
      <alignment horizontal="right"/>
    </xf>
    <xf numFmtId="164" fontId="0" fillId="7" borderId="0" xfId="0" applyNumberFormat="1" applyFill="1" applyAlignment="1">
      <alignment horizontal="right"/>
    </xf>
    <xf numFmtId="0" fontId="1" fillId="0" borderId="1" xfId="0" applyFont="1" applyBorder="1"/>
    <xf numFmtId="0" fontId="8" fillId="0" borderId="0" xfId="0" applyFont="1"/>
    <xf numFmtId="0" fontId="0" fillId="0" borderId="1" xfId="0" applyBorder="1" applyAlignment="1">
      <alignment horizontal="left"/>
    </xf>
    <xf numFmtId="164" fontId="0" fillId="0" borderId="1" xfId="0" applyNumberFormat="1" applyBorder="1" applyAlignment="1">
      <alignment horizontal="left"/>
    </xf>
    <xf numFmtId="0" fontId="1" fillId="0" borderId="0" xfId="0" applyFont="1" applyAlignment="1">
      <alignment horizontal="center"/>
    </xf>
    <xf numFmtId="0" fontId="7" fillId="0" borderId="0" xfId="0" applyFont="1" applyAlignment="1">
      <alignment horizontal="center"/>
    </xf>
    <xf numFmtId="0" fontId="1" fillId="0" borderId="1" xfId="0" applyFont="1" applyBorder="1" applyAlignment="1">
      <alignment horizontal="center"/>
    </xf>
    <xf numFmtId="167" fontId="0" fillId="0" borderId="1" xfId="0" applyNumberFormat="1" applyBorder="1"/>
    <xf numFmtId="166" fontId="0" fillId="0" borderId="1" xfId="0" applyNumberFormat="1" applyBorder="1"/>
    <xf numFmtId="0" fontId="1" fillId="8" borderId="1" xfId="0" applyFont="1" applyFill="1" applyBorder="1" applyAlignment="1">
      <alignment wrapText="1"/>
    </xf>
    <xf numFmtId="0" fontId="0" fillId="9" borderId="1" xfId="0" applyFill="1" applyBorder="1"/>
    <xf numFmtId="167" fontId="0" fillId="0" borderId="1" xfId="0" applyNumberFormat="1" applyBorder="1" applyAlignment="1">
      <alignment horizontal="right"/>
    </xf>
    <xf numFmtId="165" fontId="0" fillId="0" borderId="1" xfId="0" applyNumberFormat="1" applyBorder="1" applyAlignment="1">
      <alignment horizontal="right"/>
    </xf>
    <xf numFmtId="0" fontId="1" fillId="10" borderId="1" xfId="0" applyFont="1" applyFill="1" applyBorder="1" applyAlignment="1">
      <alignment horizontal="center" wrapText="1"/>
    </xf>
    <xf numFmtId="166" fontId="1" fillId="0" borderId="1" xfId="0" applyNumberFormat="1" applyFont="1" applyBorder="1" applyAlignment="1">
      <alignment horizontal="right"/>
    </xf>
    <xf numFmtId="0" fontId="1" fillId="11" borderId="1" xfId="0" applyFont="1" applyFill="1" applyBorder="1" applyAlignment="1">
      <alignment horizontal="center"/>
    </xf>
    <xf numFmtId="0" fontId="0" fillId="12" borderId="1" xfId="0" applyFill="1" applyBorder="1" applyAlignment="1">
      <alignment horizontal="center"/>
    </xf>
    <xf numFmtId="0" fontId="0" fillId="13" borderId="1" xfId="0" applyFill="1" applyBorder="1" applyAlignment="1">
      <alignment horizontal="center"/>
    </xf>
    <xf numFmtId="0" fontId="0" fillId="14" borderId="1" xfId="0" applyFill="1" applyBorder="1" applyAlignment="1">
      <alignment horizontal="center"/>
    </xf>
    <xf numFmtId="0" fontId="1" fillId="12" borderId="1" xfId="0" applyFont="1" applyFill="1" applyBorder="1"/>
    <xf numFmtId="0" fontId="0" fillId="13" borderId="1" xfId="0" applyFill="1" applyBorder="1"/>
    <xf numFmtId="0" fontId="0" fillId="14" borderId="1" xfId="0" applyFill="1" applyBorder="1"/>
    <xf numFmtId="0" fontId="0" fillId="0" borderId="1" xfId="0" applyBorder="1" applyAlignment="1">
      <alignment wrapText="1"/>
    </xf>
    <xf numFmtId="0" fontId="7" fillId="0" borderId="0" xfId="0" applyFont="1"/>
    <xf numFmtId="166" fontId="1" fillId="0" borderId="1" xfId="0" applyNumberFormat="1" applyFont="1" applyBorder="1"/>
    <xf numFmtId="0" fontId="0" fillId="0" borderId="0" xfId="0" applyAlignment="1">
      <alignment wrapText="1"/>
    </xf>
    <xf numFmtId="0" fontId="0" fillId="0" borderId="1" xfId="0" applyBorder="1" applyAlignment="1">
      <alignment horizontal="left" indent="1"/>
    </xf>
    <xf numFmtId="0" fontId="0" fillId="0" borderId="1" xfId="0" applyBorder="1" applyAlignment="1">
      <alignment horizontal="left" indent="2"/>
    </xf>
    <xf numFmtId="0" fontId="9" fillId="0" borderId="1" xfId="0" applyFont="1" applyBorder="1"/>
    <xf numFmtId="0" fontId="0" fillId="7" borderId="0" xfId="0" applyFill="1"/>
    <xf numFmtId="164" fontId="0" fillId="0" borderId="1" xfId="0" applyNumberFormat="1" applyBorder="1"/>
    <xf numFmtId="0" fontId="1" fillId="15" borderId="1" xfId="0" applyFont="1" applyFill="1" applyBorder="1" applyAlignment="1">
      <alignment horizontal="center"/>
    </xf>
    <xf numFmtId="168" fontId="0" fillId="0" borderId="1" xfId="0" applyNumberFormat="1" applyBorder="1" applyAlignment="1">
      <alignment horizontal="right"/>
    </xf>
    <xf numFmtId="169" fontId="0" fillId="0" borderId="1" xfId="0" applyNumberFormat="1" applyBorder="1" applyAlignment="1">
      <alignment horizontal="right"/>
    </xf>
    <xf numFmtId="170" fontId="0" fillId="0" borderId="1" xfId="0" applyNumberFormat="1" applyBorder="1"/>
    <xf numFmtId="0" fontId="1" fillId="2" borderId="0" xfId="0" applyFont="1" applyFill="1" applyAlignment="1">
      <alignment horizontal="center"/>
    </xf>
    <xf numFmtId="164" fontId="0" fillId="0" borderId="0" xfId="0" applyNumberFormat="1" applyAlignment="1">
      <alignment horizontal="right"/>
    </xf>
    <xf numFmtId="0" fontId="1" fillId="16" borderId="1" xfId="0" applyFont="1" applyFill="1" applyBorder="1" applyAlignment="1">
      <alignment horizontal="center"/>
    </xf>
    <xf numFmtId="0" fontId="0" fillId="11" borderId="1" xfId="0" applyFill="1" applyBorder="1"/>
    <xf numFmtId="171" fontId="0" fillId="0" borderId="1" xfId="0" applyNumberFormat="1" applyBorder="1" applyAlignment="1">
      <alignment horizontal="right"/>
    </xf>
    <xf numFmtId="0" fontId="0" fillId="17" borderId="1" xfId="0" applyFill="1" applyBorder="1"/>
    <xf numFmtId="0" fontId="0" fillId="18" borderId="1" xfId="0" applyFill="1" applyBorder="1"/>
    <xf numFmtId="0" fontId="0" fillId="19" borderId="1" xfId="0" applyFill="1" applyBorder="1"/>
    <xf numFmtId="0" fontId="0" fillId="20" borderId="1" xfId="0" applyFill="1" applyBorder="1"/>
    <xf numFmtId="0" fontId="10" fillId="21" borderId="1" xfId="0" applyFont="1" applyFill="1" applyBorder="1" applyAlignment="1">
      <alignment horizontal="center"/>
    </xf>
    <xf numFmtId="0" fontId="10" fillId="21" borderId="0" xfId="0" applyFont="1" applyFill="1" applyAlignment="1">
      <alignment horizontal="center"/>
    </xf>
    <xf numFmtId="0" fontId="0" fillId="0" borderId="0" xfId="0" applyAlignment="1">
      <alignment horizontal="center"/>
    </xf>
    <xf numFmtId="0" fontId="0" fillId="22" borderId="0" xfId="0" applyFill="1"/>
    <xf numFmtId="0" fontId="11" fillId="0" borderId="0" xfId="0" applyFont="1"/>
    <xf numFmtId="0" fontId="12" fillId="0" borderId="1" xfId="0" applyFont="1" applyBorder="1" applyAlignment="1">
      <alignment horizontal="center"/>
    </xf>
    <xf numFmtId="0" fontId="0" fillId="23" borderId="1" xfId="0" applyFill="1" applyBorder="1" applyAlignment="1">
      <alignment horizontal="center"/>
    </xf>
    <xf numFmtId="0" fontId="0" fillId="23" borderId="1" xfId="0" applyFill="1" applyBorder="1"/>
    <xf numFmtId="167" fontId="0" fillId="23" borderId="1" xfId="0" applyNumberFormat="1" applyFill="1" applyBorder="1"/>
    <xf numFmtId="167" fontId="1" fillId="23" borderId="1" xfId="0" applyNumberFormat="1" applyFont="1" applyFill="1" applyBorder="1"/>
    <xf numFmtId="165" fontId="0" fillId="23" borderId="1" xfId="0" applyNumberFormat="1" applyFill="1" applyBorder="1"/>
    <xf numFmtId="165" fontId="1" fillId="23" borderId="1" xfId="0" applyNumberFormat="1" applyFont="1" applyFill="1" applyBorder="1"/>
    <xf numFmtId="0" fontId="1" fillId="22" borderId="1" xfId="0" applyFont="1" applyFill="1" applyBorder="1" applyAlignment="1">
      <alignment horizontal="center"/>
    </xf>
    <xf numFmtId="0" fontId="1" fillId="2" borderId="0" xfId="0" applyFont="1" applyFill="1"/>
    <xf numFmtId="0" fontId="9" fillId="0" borderId="0" xfId="0" applyFont="1"/>
    <xf numFmtId="0" fontId="1" fillId="2" borderId="1" xfId="0" applyFont="1" applyFill="1" applyBorder="1"/>
    <xf numFmtId="0" fontId="1" fillId="7" borderId="0" xfId="0" applyFont="1" applyFill="1" applyAlignment="1">
      <alignment horizontal="left"/>
    </xf>
    <xf numFmtId="0" fontId="0" fillId="15" borderId="0" xfId="0" applyFill="1"/>
    <xf numFmtId="0" fontId="1" fillId="7" borderId="0" xfId="0" applyFont="1" applyFill="1"/>
    <xf numFmtId="0" fontId="0" fillId="24" borderId="0" xfId="0" applyFill="1"/>
    <xf numFmtId="0" fontId="1" fillId="25" borderId="1" xfId="0" applyFont="1" applyFill="1" applyBorder="1" applyAlignment="1">
      <alignment horizontal="center"/>
    </xf>
    <xf numFmtId="166" fontId="0" fillId="24" borderId="1" xfId="0" applyNumberFormat="1" applyFill="1" applyBorder="1"/>
    <xf numFmtId="0" fontId="0" fillId="24" borderId="1" xfId="0" applyFill="1" applyBorder="1" applyAlignment="1">
      <alignment horizontal="center"/>
    </xf>
    <xf numFmtId="0" fontId="0" fillId="24" borderId="1" xfId="0" applyFill="1" applyBorder="1"/>
    <xf numFmtId="165" fontId="0" fillId="24" borderId="1" xfId="0" applyNumberFormat="1" applyFill="1" applyBorder="1"/>
    <xf numFmtId="167" fontId="1" fillId="0" borderId="0" xfId="0" applyNumberFormat="1" applyFont="1"/>
    <xf numFmtId="166" fontId="1" fillId="0" borderId="0" xfId="0" applyNumberFormat="1" applyFont="1"/>
    <xf numFmtId="0" fontId="13" fillId="26" borderId="1" xfId="0" applyFont="1" applyFill="1" applyBorder="1" applyAlignment="1">
      <alignment horizontal="center"/>
    </xf>
    <xf numFmtId="0" fontId="14" fillId="0" borderId="1" xfId="0" applyFont="1" applyBorder="1" applyAlignment="1">
      <alignment horizontal="right"/>
    </xf>
    <xf numFmtId="0" fontId="15" fillId="0" borderId="0" xfId="0" applyFont="1"/>
    <xf numFmtId="0" fontId="9" fillId="0" borderId="0" xfId="0" applyFont="1" applyAlignment="1">
      <alignment wrapText="1"/>
    </xf>
    <xf numFmtId="0" fontId="1" fillId="2" borderId="1" xfId="0" applyFont="1" applyFill="1" applyBorder="1" applyAlignment="1">
      <alignment horizontal="center" vertical="center" wrapText="1"/>
    </xf>
    <xf numFmtId="0" fontId="0" fillId="0" borderId="1" xfId="0" applyBorder="1" applyAlignment="1">
      <alignment vertical="top" wrapText="1"/>
    </xf>
    <xf numFmtId="0" fontId="0" fillId="0" borderId="1" xfId="0" applyBorder="1" applyAlignment="1">
      <alignment horizontal="center" vertical="top"/>
    </xf>
    <xf numFmtId="0" fontId="16" fillId="0" borderId="1" xfId="0" applyFont="1" applyBorder="1" applyAlignment="1">
      <alignment vertical="top" wrapText="1"/>
    </xf>
    <xf numFmtId="0" fontId="17" fillId="0" borderId="1" xfId="0" applyFont="1" applyBorder="1" applyAlignment="1">
      <alignment vertical="top" wrapText="1"/>
    </xf>
    <xf numFmtId="0" fontId="18"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worksheet" Target="worksheets/sheet118.xml"/><Relationship Id="rId119" Type="http://schemas.openxmlformats.org/officeDocument/2006/relationships/worksheet" Target="worksheets/sheet119.xml"/><Relationship Id="rId120" Type="http://schemas.openxmlformats.org/officeDocument/2006/relationships/worksheet" Target="worksheets/sheet120.xml"/><Relationship Id="rId121" Type="http://schemas.openxmlformats.org/officeDocument/2006/relationships/worksheet" Target="worksheets/sheet121.xml"/><Relationship Id="rId122" Type="http://schemas.openxmlformats.org/officeDocument/2006/relationships/worksheet" Target="worksheets/sheet122.xml"/><Relationship Id="rId123" Type="http://schemas.openxmlformats.org/officeDocument/2006/relationships/worksheet" Target="worksheets/sheet123.xml"/><Relationship Id="rId124" Type="http://schemas.openxmlformats.org/officeDocument/2006/relationships/worksheet" Target="worksheets/sheet124.xml"/><Relationship Id="rId125" Type="http://schemas.openxmlformats.org/officeDocument/2006/relationships/worksheet" Target="worksheets/sheet125.xml"/><Relationship Id="rId126" Type="http://schemas.openxmlformats.org/officeDocument/2006/relationships/worksheet" Target="worksheets/sheet126.xml"/><Relationship Id="rId127" Type="http://schemas.openxmlformats.org/officeDocument/2006/relationships/worksheet" Target="worksheets/sheet127.xml"/><Relationship Id="rId128" Type="http://schemas.openxmlformats.org/officeDocument/2006/relationships/worksheet" Target="worksheets/sheet128.xml"/><Relationship Id="rId129" Type="http://schemas.openxmlformats.org/officeDocument/2006/relationships/worksheet" Target="worksheets/sheet129.xml"/><Relationship Id="rId130" Type="http://schemas.openxmlformats.org/officeDocument/2006/relationships/worksheet" Target="worksheets/sheet130.xml"/><Relationship Id="rId131" Type="http://schemas.openxmlformats.org/officeDocument/2006/relationships/worksheet" Target="worksheets/sheet131.xml"/><Relationship Id="rId132" Type="http://schemas.openxmlformats.org/officeDocument/2006/relationships/worksheet" Target="worksheets/sheet132.xml"/><Relationship Id="rId133" Type="http://schemas.openxmlformats.org/officeDocument/2006/relationships/worksheet" Target="worksheets/sheet133.xml"/><Relationship Id="rId134" Type="http://schemas.openxmlformats.org/officeDocument/2006/relationships/worksheet" Target="worksheets/sheet134.xml"/><Relationship Id="rId135" Type="http://schemas.openxmlformats.org/officeDocument/2006/relationships/worksheet" Target="worksheets/sheet135.xml"/><Relationship Id="rId136" Type="http://schemas.openxmlformats.org/officeDocument/2006/relationships/worksheet" Target="worksheets/sheet136.xml"/><Relationship Id="rId137" Type="http://schemas.openxmlformats.org/officeDocument/2006/relationships/worksheet" Target="worksheets/sheet137.xml"/><Relationship Id="rId138" Type="http://schemas.openxmlformats.org/officeDocument/2006/relationships/worksheet" Target="worksheets/sheet138.xml"/><Relationship Id="rId139" Type="http://schemas.openxmlformats.org/officeDocument/2006/relationships/worksheet" Target="worksheets/sheet139.xml"/><Relationship Id="rId140" Type="http://schemas.openxmlformats.org/officeDocument/2006/relationships/worksheet" Target="worksheets/sheet140.xml"/><Relationship Id="rId141" Type="http://schemas.openxmlformats.org/officeDocument/2006/relationships/worksheet" Target="worksheets/sheet141.xml"/><Relationship Id="rId142" Type="http://schemas.openxmlformats.org/officeDocument/2006/relationships/worksheet" Target="worksheets/sheet142.xml"/><Relationship Id="rId143" Type="http://schemas.openxmlformats.org/officeDocument/2006/relationships/worksheet" Target="worksheets/sheet143.xml"/><Relationship Id="rId144" Type="http://schemas.openxmlformats.org/officeDocument/2006/relationships/worksheet" Target="worksheets/sheet144.xml"/><Relationship Id="rId145" Type="http://schemas.openxmlformats.org/officeDocument/2006/relationships/worksheet" Target="worksheets/sheet145.xml"/><Relationship Id="rId146" Type="http://schemas.openxmlformats.org/officeDocument/2006/relationships/worksheet" Target="worksheets/sheet146.xml"/><Relationship Id="rId147" Type="http://schemas.openxmlformats.org/officeDocument/2006/relationships/worksheet" Target="worksheets/sheet147.xml"/><Relationship Id="rId148" Type="http://schemas.openxmlformats.org/officeDocument/2006/relationships/worksheet" Target="worksheets/sheet148.xml"/><Relationship Id="rId149" Type="http://schemas.openxmlformats.org/officeDocument/2006/relationships/worksheet" Target="worksheets/sheet149.xml"/><Relationship Id="rId150" Type="http://schemas.openxmlformats.org/officeDocument/2006/relationships/worksheet" Target="worksheets/sheet150.xml"/><Relationship Id="rId151" Type="http://schemas.openxmlformats.org/officeDocument/2006/relationships/worksheet" Target="worksheets/sheet151.xml"/><Relationship Id="rId152" Type="http://schemas.openxmlformats.org/officeDocument/2006/relationships/worksheet" Target="worksheets/sheet152.xml"/><Relationship Id="rId153" Type="http://schemas.openxmlformats.org/officeDocument/2006/relationships/worksheet" Target="worksheets/sheet153.xml"/><Relationship Id="rId154" Type="http://schemas.openxmlformats.org/officeDocument/2006/relationships/worksheet" Target="worksheets/sheet154.xml"/><Relationship Id="rId155" Type="http://schemas.openxmlformats.org/officeDocument/2006/relationships/worksheet" Target="worksheets/sheet155.xml"/><Relationship Id="rId156" Type="http://schemas.openxmlformats.org/officeDocument/2006/relationships/worksheet" Target="worksheets/sheet156.xml"/><Relationship Id="rId157" Type="http://schemas.openxmlformats.org/officeDocument/2006/relationships/worksheet" Target="worksheets/sheet157.xml"/><Relationship Id="rId158" Type="http://schemas.openxmlformats.org/officeDocument/2006/relationships/worksheet" Target="worksheets/sheet158.xml"/><Relationship Id="rId159" Type="http://schemas.openxmlformats.org/officeDocument/2006/relationships/worksheet" Target="worksheets/sheet159.xml"/><Relationship Id="rId160" Type="http://schemas.openxmlformats.org/officeDocument/2006/relationships/worksheet" Target="worksheets/sheet160.xml"/><Relationship Id="rId161" Type="http://schemas.openxmlformats.org/officeDocument/2006/relationships/worksheet" Target="worksheets/sheet161.xml"/><Relationship Id="rId162" Type="http://schemas.openxmlformats.org/officeDocument/2006/relationships/worksheet" Target="worksheets/sheet162.xml"/><Relationship Id="rId163" Type="http://schemas.openxmlformats.org/officeDocument/2006/relationships/worksheet" Target="worksheets/sheet163.xml"/><Relationship Id="rId164" Type="http://schemas.openxmlformats.org/officeDocument/2006/relationships/worksheet" Target="worksheets/sheet164.xml"/><Relationship Id="rId165" Type="http://schemas.openxmlformats.org/officeDocument/2006/relationships/worksheet" Target="worksheets/sheet165.xml"/><Relationship Id="rId166" Type="http://schemas.openxmlformats.org/officeDocument/2006/relationships/worksheet" Target="worksheets/sheet166.xml"/><Relationship Id="rId167" Type="http://schemas.openxmlformats.org/officeDocument/2006/relationships/worksheet" Target="worksheets/sheet167.xml"/><Relationship Id="rId168" Type="http://schemas.openxmlformats.org/officeDocument/2006/relationships/worksheet" Target="worksheets/sheet168.xml"/><Relationship Id="rId169" Type="http://schemas.openxmlformats.org/officeDocument/2006/relationships/worksheet" Target="worksheets/sheet169.xml"/><Relationship Id="rId170" Type="http://schemas.openxmlformats.org/officeDocument/2006/relationships/worksheet" Target="worksheets/sheet170.xml"/><Relationship Id="rId171" Type="http://schemas.openxmlformats.org/officeDocument/2006/relationships/worksheet" Target="worksheets/sheet171.xml"/><Relationship Id="rId172" Type="http://schemas.openxmlformats.org/officeDocument/2006/relationships/worksheet" Target="worksheets/sheet172.xml"/><Relationship Id="rId173" Type="http://schemas.openxmlformats.org/officeDocument/2006/relationships/worksheet" Target="worksheets/sheet173.xml"/><Relationship Id="rId174" Type="http://schemas.openxmlformats.org/officeDocument/2006/relationships/worksheet" Target="worksheets/sheet174.xml"/><Relationship Id="rId175" Type="http://schemas.openxmlformats.org/officeDocument/2006/relationships/worksheet" Target="worksheets/sheet175.xml"/><Relationship Id="rId176" Type="http://schemas.openxmlformats.org/officeDocument/2006/relationships/worksheet" Target="worksheets/sheet176.xml"/><Relationship Id="rId177" Type="http://schemas.openxmlformats.org/officeDocument/2006/relationships/worksheet" Target="worksheets/sheet177.xml"/><Relationship Id="rId178" Type="http://schemas.openxmlformats.org/officeDocument/2006/relationships/worksheet" Target="worksheets/sheet178.xml"/><Relationship Id="rId179" Type="http://schemas.openxmlformats.org/officeDocument/2006/relationships/worksheet" Target="worksheets/sheet179.xml"/><Relationship Id="rId180" Type="http://schemas.openxmlformats.org/officeDocument/2006/relationships/worksheet" Target="worksheets/sheet180.xml"/><Relationship Id="rId181" Type="http://schemas.openxmlformats.org/officeDocument/2006/relationships/worksheet" Target="worksheets/sheet181.xml"/><Relationship Id="rId182" Type="http://schemas.openxmlformats.org/officeDocument/2006/relationships/worksheet" Target="worksheets/sheet182.xml"/><Relationship Id="rId183" Type="http://schemas.openxmlformats.org/officeDocument/2006/relationships/worksheet" Target="worksheets/sheet183.xml"/><Relationship Id="rId184" Type="http://schemas.openxmlformats.org/officeDocument/2006/relationships/worksheet" Target="worksheets/sheet184.xml"/><Relationship Id="rId185" Type="http://schemas.openxmlformats.org/officeDocument/2006/relationships/worksheet" Target="worksheets/sheet185.xml"/><Relationship Id="rId186" Type="http://schemas.openxmlformats.org/officeDocument/2006/relationships/worksheet" Target="worksheets/sheet186.xml"/><Relationship Id="rId187" Type="http://schemas.openxmlformats.org/officeDocument/2006/relationships/worksheet" Target="worksheets/sheet187.xml"/><Relationship Id="rId188" Type="http://schemas.openxmlformats.org/officeDocument/2006/relationships/worksheet" Target="worksheets/sheet188.xml"/><Relationship Id="rId189" Type="http://schemas.openxmlformats.org/officeDocument/2006/relationships/worksheet" Target="worksheets/sheet189.xml"/><Relationship Id="rId190" Type="http://schemas.openxmlformats.org/officeDocument/2006/relationships/worksheet" Target="worksheets/sheet190.xml"/><Relationship Id="rId191" Type="http://schemas.openxmlformats.org/officeDocument/2006/relationships/worksheet" Target="worksheets/sheet191.xml"/><Relationship Id="rId19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2C8A3E"/>
  </sheetPr>
  <dimension ref="A1:G228"/>
  <sheetViews>
    <sheetView workbookViewId="0" tabSelected="1">
      <selection activeCell="A5" sqref="A5"/>
    </sheetView>
  </sheetViews>
  <sheetFormatPr defaultRowHeight="15"/>
  <cols>
    <col min="1" max="1" width="6.00" customWidth="1"/>
    <col min="2" max="2" width="11.00" customWidth="1"/>
    <col min="3" max="3" width="18.00" customWidth="1"/>
    <col min="4" max="4" width="30.00" customWidth="1"/>
    <col min="5" max="5" width="26.00" customWidth="1"/>
    <col min="6" max="6" width="70.00" customWidth="1"/>
    <col min="7" max="7" width="18.00" customWidth="1"/>
  </cols>
  <sheetData>
    <row r="1" ht="24.00" customHeight="1">
      <c r="A1" s="98" t="inlineStr">
        <is>
          <t>DVDAddin — File thực hành các lệnh</t>
        </is>
      </c>
    </row>
    <row r="2" ht="48.00" customHeight="1">
      <c r="A2" s="99" t="inlineStr">
        <is>
          <t>Mỗi sheet chứa đúng dữ liệu của hình trong hướng dẫn: địa chỉ ô, tiêu đề cột, định dạng khớp từng bước. Mở trang hướng dẫn (cột cuối), chuyển sang sheet tương ứng và làm theo. Nên lưu một bản sao trước khi thử — vài lệnh làm việc trên cả workbook (đổi tên, ẩn, đánh số, bỏ dấu tên sheet).</t>
        </is>
      </c>
    </row>
    <row r="4">
      <c r="A4" s="100" t="inlineStr">
        <is>
          <t>STT</t>
        </is>
      </c>
      <c r="B4" s="100" t="inlineStr">
        <is>
          <t>Tab</t>
        </is>
      </c>
      <c r="C4" s="100" t="inlineStr">
        <is>
          <t>Nhóm</t>
        </is>
      </c>
      <c r="D4" s="100" t="inlineStr">
        <is>
          <t>Lệnh</t>
        </is>
      </c>
      <c r="E4" s="100" t="inlineStr">
        <is>
          <t>Sheet thực hành</t>
        </is>
      </c>
      <c r="F4" s="100" t="inlineStr">
        <is>
          <t>Việc cần làm trước</t>
        </is>
      </c>
      <c r="G4" s="100" t="inlineStr">
        <is>
          <t>Hướng dẫn</t>
        </is>
      </c>
    </row>
    <row r="5">
      <c r="A5" s="102">
        <v>1</v>
      </c>
      <c r="B5" s="101" t="inlineStr">
        <is>
          <t>DVD Cons</t>
        </is>
      </c>
      <c r="C5" s="101" t="inlineStr">
        <is>
          <t>Tiến độ</t>
        </is>
      </c>
      <c r="D5" s="101" t="inlineStr">
        <is>
          <t>Vẽ tiến độ</t>
        </is>
      </c>
      <c r="E5" s="103" t="inlineStr">
        <is>
          <t>Vẽ tiến độ</t>
        </is>
      </c>
      <c r="F5" s="101" t="inlineStr">
        <is>
          <t>Mở sheet tiến độ và đặt con trỏ vào một ô trong bảng công tác, ví dụ dòng cuối — add-in tự nhận diện dòng tiêu đề (Thời lượng / Bắt đầu / Kết thúc) và vùng dữ liệu.</t>
        </is>
      </c>
      <c r="G5" s="103" t="str">
        <f>HYPERLINK("https://dvdaddin.dvdpm.net/vi/commands/reference/btnDrawGanttChart","Mở hướng dẫn")</f>
        <v>Mở hướng dẫn</v>
      </c>
    </row>
    <row r="6">
      <c r="A6" s="102">
        <v>2</v>
      </c>
      <c r="B6" s="101" t="inlineStr">
        <is>
          <t>DVD Cons</t>
        </is>
      </c>
      <c r="C6" s="101" t="inlineStr">
        <is>
          <t>Tiến độ</t>
        </is>
      </c>
      <c r="D6" s="101" t="inlineStr">
        <is>
          <t>Tự động tính</t>
        </is>
      </c>
      <c r="E6" s="103" t="inlineStr">
        <is>
          <t>Tự động tính</t>
        </is>
      </c>
      <c r="F6" s="101" t="inlineStr">
        <is>
          <t>Nút sáng lên là đang BẬT; thanh trạng thái Excel xác nhận trong khoảng 6 giây . Giờ sửa thử: gõ thời lượng mới cho Đào đất hố móng — từ 6 xuống 4 ngày — rồi nhấn Enter.</t>
        </is>
      </c>
      <c r="G6" s="103" t="str">
        <f>HYPERLINK("https://dvdaddin.dvdpm.net/vi/commands/reference/ToggleAutoCalc","Mở hướng dẫn")</f>
        <v>Mở hướng dẫn</v>
      </c>
    </row>
    <row r="7">
      <c r="A7" s="102">
        <v>3</v>
      </c>
      <c r="B7" s="101" t="inlineStr">
        <is>
          <t>DVD Cons</t>
        </is>
      </c>
      <c r="C7" s="101" t="inlineStr">
        <is>
          <t>Tiến độ</t>
        </is>
      </c>
      <c r="D7" s="101" t="inlineStr">
        <is>
          <t>Tự động vẽ</t>
        </is>
      </c>
      <c r="E7" s="103" t="inlineStr">
        <is>
          <t>Tự động vẽ</t>
        </is>
      </c>
      <c r="F7" s="101" t="inlineStr">
        <is>
          <t>Nút sáng lên là đang BẬT; thanh trạng thái xác nhận trong khoảng 6 giây . Giờ sửa số liệu như thường lệ — ví dụ Đào đất hố móng gặp nước ngầm, tăng thời lượng từ 6 lên 8 ngày .</t>
        </is>
      </c>
      <c r="G7" s="103" t="str">
        <f>HYPERLINK("https://dvdaddin.dvdpm.net/vi/commands/reference/ToggleAutoDraw","Mở hướng dẫn")</f>
        <v>Mở hướng dẫn</v>
      </c>
    </row>
    <row r="8">
      <c r="A8" s="102">
        <v>4</v>
      </c>
      <c r="B8" s="101" t="inlineStr">
        <is>
          <t>DVD Cons</t>
        </is>
      </c>
      <c r="C8" s="101" t="inlineStr">
        <is>
          <t>Tiến độ</t>
        </is>
      </c>
      <c r="D8" s="101" t="inlineStr">
        <is>
          <t>Cập nhật tiến độ (ngày dữ liệu)</t>
        </is>
      </c>
      <c r="E8" s="103" t="inlineStr">
        <is>
          <t>Cập nhật tiến độ (ngày dữ liệu)</t>
        </is>
      </c>
      <c r="F8" s="101" t="inlineStr">
        <is>
          <t>Cập nhật thực tế tới ngày báo cáo: Bắt đầu thực tế, Kết thúc thực tế và % hoàn thành của từng công tác . Ở đây ngày báo cáo là thứ Tư 21/10/2026: Cốt thép, ván khuôn đài móng mới làm 25%, còn Gia công thép chờ cột lẽ ra bắt đầu từ 15/10 nhưng chưa làm.</t>
        </is>
      </c>
      <c r="G8" s="103" t="str">
        <f>HYPERLINK("https://dvdaddin.dvdpm.net/vi/commands/reference/btnUpdateSchedule","Mở hướng dẫn")</f>
        <v>Mở hướng dẫn</v>
      </c>
    </row>
    <row r="9">
      <c r="A9" s="102">
        <v>5</v>
      </c>
      <c r="B9" s="101" t="inlineStr">
        <is>
          <t>DVD Cons</t>
        </is>
      </c>
      <c r="C9" s="101" t="inlineStr">
        <is>
          <t>Tiến độ</t>
        </is>
      </c>
      <c r="D9" s="101" t="inlineStr">
        <is>
          <t>Cập nhật trạng thái</t>
        </is>
      </c>
      <c r="E9" s="103" t="inlineStr">
        <is>
          <t>Cập nhật trạng thái</t>
        </is>
      </c>
      <c r="F9" s="101" t="inlineStr">
        <is>
          <t>Mở sheet tiến độ cần đánh giá. Sheet phải có các cột Thời lượng / Bắt đầu / Kết thúc / Hoàn thành ; có thêm BĐ thực tế / KT thực tế thì có Δ Finish, Trạng thái, Dự báo; có BAC / EV (ở đây tính bằng triệu đồng) thì có PV, SV, SPI.</t>
        </is>
      </c>
      <c r="G9" s="103" t="str">
        <f>HYPERLINK("https://dvdaddin.dvdpm.net/vi/commands/reference/btnUpdateStatus","Mở hướng dẫn")</f>
        <v>Mở hướng dẫn</v>
      </c>
    </row>
    <row r="10">
      <c r="A10" s="102">
        <v>6</v>
      </c>
      <c r="B10" s="101" t="inlineStr">
        <is>
          <t>DVD Cons</t>
        </is>
      </c>
      <c r="C10" s="101" t="inlineStr">
        <is>
          <t>Tiến độ</t>
        </is>
      </c>
      <c r="D10" s="101" t="inlineStr">
        <is>
          <t>Cài đặt</t>
        </is>
      </c>
      <c r="E10" s="104" t="inlineStr">
        <is>
          <t>— (không cần dữ liệu mẫu)</t>
        </is>
      </c>
      <c r="F10" s="101" t="inlineStr">
        <is>
          <t/>
        </is>
      </c>
      <c r="G10" s="103" t="str">
        <f>HYPERLINK("https://dvdaddin.dvdpm.net/vi/commands/reference/btnGanttSetupGroup","Mở hướng dẫn")</f>
        <v>Mở hướng dẫn</v>
      </c>
    </row>
    <row r="11">
      <c r="A11" s="102">
        <v>7</v>
      </c>
      <c r="B11" s="101" t="inlineStr">
        <is>
          <t>DVD Cons</t>
        </is>
      </c>
      <c r="C11" s="101" t="inlineStr">
        <is>
          <t>Tiến độ</t>
        </is>
      </c>
      <c r="D11" s="101" t="inlineStr">
        <is>
          <t>Mẫu tiến độ</t>
        </is>
      </c>
      <c r="E11" s="104" t="inlineStr">
        <is>
          <t>— (không cần dữ liệu mẫu)</t>
        </is>
      </c>
      <c r="F11" s="101" t="inlineStr">
        <is>
          <t/>
        </is>
      </c>
      <c r="G11" s="103" t="str">
        <f>HYPERLINK("https://dvdaddin.dvdpm.net/vi/commands/reference/btnGanttTpl","Mở hướng dẫn")</f>
        <v>Mở hướng dẫn</v>
      </c>
    </row>
    <row r="12">
      <c r="A12" s="102">
        <v>8</v>
      </c>
      <c r="B12" s="101" t="inlineStr">
        <is>
          <t>DVD Cons</t>
        </is>
      </c>
      <c r="C12" s="101" t="inlineStr">
        <is>
          <t>Tiến độ</t>
        </is>
      </c>
      <c r="D12" s="101" t="inlineStr">
        <is>
          <t>Ràng buộc</t>
        </is>
      </c>
      <c r="E12" s="103" t="inlineStr">
        <is>
          <t>Ràng buộc</t>
        </is>
      </c>
      <c r="F12" s="101" t="inlineStr">
        <is>
          <t>Mở sheet tiến độ và bôi đen dòng công tác cần ràng buộc — ở đây Lắp dựng cẩu tháp, vì mặt bằng đặt cẩu chỉ được bàn giao từ 02/11/2026. Chưa chọn dòng nào trong vùng dữ liệu thì lệnh chỉ nhắc rồi dừng.</t>
        </is>
      </c>
      <c r="G12" s="103" t="str">
        <f>HYPERLINK("https://dvdaddin.dvdpm.net/vi/commands/reference/btnConstraints","Mở hướng dẫn")</f>
        <v>Mở hướng dẫn</v>
      </c>
    </row>
    <row r="13">
      <c r="A13" s="102">
        <v>9</v>
      </c>
      <c r="B13" s="101" t="inlineStr">
        <is>
          <t>DVD Cons</t>
        </is>
      </c>
      <c r="C13" s="101" t="inlineStr">
        <is>
          <t>Tiến độ</t>
        </is>
      </c>
      <c r="D13" s="101" t="inlineStr">
        <is>
          <t>Ngôn ngữ tiêu đề</t>
        </is>
      </c>
      <c r="E13" s="103" t="inlineStr">
        <is>
          <t>Ngôn ngữ tiêu đề</t>
        </is>
      </c>
      <c r="F13" s="101" t="inlineStr">
        <is>
          <t>Mở sheet tiến độ cần đổi tiêu đề — ví dụ sheet vừa nhập từ MS Project, hàng tiêu đề đang là tiếng Anh .</t>
        </is>
      </c>
      <c r="G13" s="103" t="str">
        <f>HYPERLINK("https://dvdaddin.dvdpm.net/vi/commands/reference/btnHeaderLang","Mở hướng dẫn")</f>
        <v>Mở hướng dẫn</v>
      </c>
    </row>
    <row r="14">
      <c r="A14" s="102">
        <v>10</v>
      </c>
      <c r="B14" s="101" t="inlineStr">
        <is>
          <t>DVD Cons</t>
        </is>
      </c>
      <c r="C14" s="101" t="inlineStr">
        <is>
          <t>Tiến độ</t>
        </is>
      </c>
      <c r="D14" s="101" t="inlineStr">
        <is>
          <t>Xuất XML (P6/MSP)</t>
        </is>
      </c>
      <c r="E14" s="103" t="inlineStr">
        <is>
          <t>Xuất XML (P6-MSP)</t>
        </is>
      </c>
      <c r="F14" s="101" t="inlineStr">
        <is>
          <t>Mở sheet tiến độ cần xuất (phải là worksheet). Nên để Tự động tính chạy xong một lượt để ngày trên sheet là kết quả mới nhất — lệnh chỉ đọc, không sửa sheet.</t>
        </is>
      </c>
      <c r="G14" s="103" t="str">
        <f>HYPERLINK("https://dvdaddin.dvdpm.net/vi/commands/reference/btnExportXml","Mở hướng dẫn")</f>
        <v>Mở hướng dẫn</v>
      </c>
    </row>
    <row r="15">
      <c r="A15" s="102">
        <v>11</v>
      </c>
      <c r="B15" s="101" t="inlineStr">
        <is>
          <t>DVD Cons</t>
        </is>
      </c>
      <c r="C15" s="101" t="inlineStr">
        <is>
          <t>Tiến độ</t>
        </is>
      </c>
      <c r="D15" s="101" t="inlineStr">
        <is>
          <t>Nhập XML (P6/MSP)</t>
        </is>
      </c>
      <c r="E15" s="104" t="inlineStr">
        <is>
          <t>— (không cần dữ liệu mẫu)</t>
        </is>
      </c>
      <c r="F15" s="101" t="inlineStr">
        <is>
          <t/>
        </is>
      </c>
      <c r="G15" s="103" t="str">
        <f>HYPERLINK("https://dvdaddin.dvdpm.net/vi/commands/reference/btnImportXml","Mở hướng dẫn")</f>
        <v>Mở hướng dẫn</v>
      </c>
    </row>
    <row r="16">
      <c r="A16" s="102">
        <v>12</v>
      </c>
      <c r="B16" s="101" t="inlineStr">
        <is>
          <t>DVD Cons</t>
        </is>
      </c>
      <c r="C16" s="101" t="inlineStr">
        <is>
          <t>Tiến độ</t>
        </is>
      </c>
      <c r="D16" s="101" t="inlineStr">
        <is>
          <t>Nhập .xer (P6)</t>
        </is>
      </c>
      <c r="E16" s="104" t="inlineStr">
        <is>
          <t>— (không cần dữ liệu mẫu)</t>
        </is>
      </c>
      <c r="F16" s="101" t="inlineStr">
        <is>
          <t/>
        </is>
      </c>
      <c r="G16" s="103" t="str">
        <f>HYPERLINK("https://dvdaddin.dvdpm.net/vi/commands/reference/btnImportXer","Mở hướng dẫn")</f>
        <v>Mở hướng dẫn</v>
      </c>
    </row>
    <row r="17">
      <c r="A17" s="102">
        <v>13</v>
      </c>
      <c r="B17" s="101" t="inlineStr">
        <is>
          <t>DVD Cons</t>
        </is>
      </c>
      <c r="C17" s="101" t="inlineStr">
        <is>
          <t>Tiến độ</t>
        </is>
      </c>
      <c r="D17" s="101" t="inlineStr">
        <is>
          <t>AI Lập tiến độ</t>
        </is>
      </c>
      <c r="E17" s="103" t="inlineStr">
        <is>
          <t>AI Lập tiến độ</t>
        </is>
      </c>
      <c r="F17" s="101" t="inlineStr">
        <is>
          <t>Mở sheet bảng khối lượng và bôi đen vùng BoQ kể cả dòng tiêu đề — cột 1 mã hiệu, cột 2 tên công việc, cột 3 đơn vị, cột 4 khối lượng.</t>
        </is>
      </c>
      <c r="G17" s="103" t="str">
        <f>HYPERLINK("https://dvdaddin.dvdpm.net/vi/commands/reference/btnGanttBuilder","Mở hướng dẫn")</f>
        <v>Mở hướng dẫn</v>
      </c>
    </row>
    <row r="18">
      <c r="A18" s="102">
        <v>14</v>
      </c>
      <c r="B18" s="101" t="inlineStr">
        <is>
          <t>DVD Cons</t>
        </is>
      </c>
      <c r="C18" s="101" t="inlineStr">
        <is>
          <t>Tiến độ</t>
        </is>
      </c>
      <c r="D18" s="101" t="inlineStr">
        <is>
          <t>Đề xuất tiến độ</t>
        </is>
      </c>
      <c r="E18" s="103" t="inlineStr">
        <is>
          <t>Đề xuất tiến độ</t>
        </is>
      </c>
      <c r="F18" s="101" t="inlineStr">
        <is>
          <t>Mở sheet tiến độ có đủ cột Bắt đầu / Kết thúc / Hoàn thành (%) , % hoàn thành đã cập nhật tới ngày chốt số liệu.</t>
        </is>
      </c>
      <c r="G18" s="103" t="str">
        <f>HYPERLINK("https://dvdaddin.dvdpm.net/vi/commands/reference/btnScheduleRecovery","Mở hướng dẫn")</f>
        <v>Mở hướng dẫn</v>
      </c>
    </row>
    <row r="19">
      <c r="A19" s="102">
        <v>15</v>
      </c>
      <c r="B19" s="101" t="inlineStr">
        <is>
          <t>DVD Cons</t>
        </is>
      </c>
      <c r="C19" s="101" t="inlineStr">
        <is>
          <t>Tiến độ</t>
        </is>
      </c>
      <c r="D19" s="101" t="inlineStr">
        <is>
          <t>Kiểm tra chất lượng</t>
        </is>
      </c>
      <c r="E19" s="103" t="inlineStr">
        <is>
          <t>Kiểm tra chất lượng</t>
        </is>
      </c>
      <c r="F19" s="101" t="inlineStr">
        <is>
          <t>Mở sheet tiến độ cần thẩm định: có Mã công tác, quan hệ Công tác trước và ngày thực tế. Chạy Tự động tính trước để cột Tổng trôi có số — thiếu cột này thì mục Float âm / Float cao bị bỏ qua.</t>
        </is>
      </c>
      <c r="G19" s="103" t="str">
        <f>HYPERLINK("https://dvdaddin.dvdpm.net/vi/commands/reference/btnHealthCheck","Mở hướng dẫn")</f>
        <v>Mở hướng dẫn</v>
      </c>
    </row>
    <row r="20">
      <c r="A20" s="102">
        <v>16</v>
      </c>
      <c r="B20" s="101" t="inlineStr">
        <is>
          <t>DVD Cons</t>
        </is>
      </c>
      <c r="C20" s="101" t="inlineStr">
        <is>
          <t>Tiến độ</t>
        </is>
      </c>
      <c r="D20" s="101" t="inlineStr">
        <is>
          <t>Báo cáo EVM</t>
        </is>
      </c>
      <c r="E20" s="103" t="inlineStr">
        <is>
          <t>Báo cáo EVM</t>
        </is>
      </c>
      <c r="F20" s="101" t="inlineStr">
        <is>
          <t>Trên sheet tiến độ, cập nhật Hoàn thành (%) và chi phí thực tế AC tới ngày chốt; cột BAC là dự toán từng công tác (chưa có cột BAC thì thêm cột BAC vào bảng trước).</t>
        </is>
      </c>
      <c r="G20" s="103" t="str">
        <f>HYPERLINK("https://dvdaddin.dvdpm.net/vi/commands/reference/btnEvmReport","Mở hướng dẫn")</f>
        <v>Mở hướng dẫn</v>
      </c>
    </row>
    <row r="21">
      <c r="A21" s="102">
        <v>17</v>
      </c>
      <c r="B21" s="101" t="inlineStr">
        <is>
          <t>DVD Cons</t>
        </is>
      </c>
      <c r="C21" s="101" t="inlineStr">
        <is>
          <t>Tiến độ</t>
        </is>
      </c>
      <c r="D21" s="101" t="inlineStr">
        <is>
          <t>Bảng chênh lệch tiến độ</t>
        </is>
      </c>
      <c r="E21" s="103" t="inlineStr">
        <is>
          <t>Bảng chênh lệch tiến độ</t>
        </is>
      </c>
      <c r="F21" s="101" t="inlineStr">
        <is>
          <t>Mở sheet tiến độ đã cập nhật ngày thực tế , % hoàn thành và cột BAC / AC — dashboard cần cả phần tiến độ lẫn phần chi phí.</t>
        </is>
      </c>
      <c r="G21" s="103" t="str">
        <f>HYPERLINK("https://dvdaddin.dvdpm.net/vi/commands/reference/btnVarianceDashboard","Mở hướng dẫn")</f>
        <v>Mở hướng dẫn</v>
      </c>
    </row>
    <row r="22">
      <c r="A22" s="102">
        <v>18</v>
      </c>
      <c r="B22" s="101" t="inlineStr">
        <is>
          <t>DVD Cons</t>
        </is>
      </c>
      <c r="C22" s="101" t="inlineStr">
        <is>
          <t>Tiến độ</t>
        </is>
      </c>
      <c r="D22" s="101" t="inlineStr">
        <is>
          <t>Kế hoạch 2 tuần tới</t>
        </is>
      </c>
      <c r="E22" s="103" t="inlineStr">
        <is>
          <t>Kế hoạch 2 tuần tới</t>
        </is>
      </c>
      <c r="F22" s="101" t="inlineStr">
        <is>
          <t>Mở sheet tiến độ đã cập nhật ngày thực tế và % hoàn thành tới hôm nay. Công tác A3005 lẽ ra xong 18/09 nhưng mới đạt 80% — việc quá hạn như vậy vẫn được đưa vào kế hoạch.</t>
        </is>
      </c>
      <c r="G22" s="103" t="str">
        <f>HYPERLINK("https://dvdaddin.dvdpm.net/vi/commands/reference/btnLookahead2W","Mở hướng dẫn")</f>
        <v>Mở hướng dẫn</v>
      </c>
    </row>
    <row r="23">
      <c r="A23" s="102">
        <v>19</v>
      </c>
      <c r="B23" s="101" t="inlineStr">
        <is>
          <t>DVD Cons</t>
        </is>
      </c>
      <c r="C23" s="101" t="inlineStr">
        <is>
          <t>Tiến độ</t>
        </is>
      </c>
      <c r="D23" s="101" t="inlineStr">
        <is>
          <t>Kế hoạch 3 tuần tới</t>
        </is>
      </c>
      <c r="E23" s="103" t="inlineStr">
        <is>
          <t>Kế hoạch 3 tuần tới</t>
        </is>
      </c>
      <c r="F23" s="101" t="inlineStr">
        <is>
          <t>Mở sheet tiến độ đã cập nhật ngày thực tế và % hoàn thành tới hôm nay. Công tác A3005 lẽ ra xong 18/09 nhưng mới đạt 80% — việc quá hạn như vậy vẫn được đưa vào kế hoạch.</t>
        </is>
      </c>
      <c r="G23" s="103" t="str">
        <f>HYPERLINK("https://dvdaddin.dvdpm.net/vi/commands/reference/btnLookahead","Mở hướng dẫn")</f>
        <v>Mở hướng dẫn</v>
      </c>
    </row>
    <row r="24">
      <c r="A24" s="102">
        <v>20</v>
      </c>
      <c r="B24" s="101" t="inlineStr">
        <is>
          <t>DVD Cons</t>
        </is>
      </c>
      <c r="C24" s="101" t="inlineStr">
        <is>
          <t>Tiến độ</t>
        </is>
      </c>
      <c r="D24" s="101" t="inlineStr">
        <is>
          <t>Sinh tiến độ (khoảng tùy chọn)</t>
        </is>
      </c>
      <c r="E24" s="103" t="inlineStr">
        <is>
          <t>Sinh tiến độ (khoảng tùy chọn)</t>
        </is>
      </c>
      <c r="F24" s="101" t="inlineStr">
        <is>
          <t>Mở sheet tiến độ nguồn có Mã / Tên công tác và cột Bắt đầu / Kết thúc . Lệnh không chạy lại CPM, nên nếu vừa sửa quan hệ thì chạy Tự động tính trước.</t>
        </is>
      </c>
      <c r="G24" s="103" t="str">
        <f>HYPERLINK("https://dvdaddin.dvdpm.net/vi/commands/reference/btnLookaheadRange","Mở hướng dẫn")</f>
        <v>Mở hướng dẫn</v>
      </c>
    </row>
    <row r="25">
      <c r="A25" s="102">
        <v>21</v>
      </c>
      <c r="B25" s="101" t="inlineStr">
        <is>
          <t>DVD Cons</t>
        </is>
      </c>
      <c r="C25" s="101" t="inlineStr">
        <is>
          <t>Tiến độ</t>
        </is>
      </c>
      <c r="D25" s="101" t="inlineStr">
        <is>
          <t>Baseline</t>
        </is>
      </c>
      <c r="E25" s="104" t="inlineStr">
        <is>
          <t>— (không cần dữ liệu mẫu)</t>
        </is>
      </c>
      <c r="F25" s="101" t="inlineStr">
        <is>
          <t/>
        </is>
      </c>
      <c r="G25" s="103" t="str">
        <f>HYPERLINK("https://dvdaddin.dvdpm.net/vi/commands/reference/btnBaseline","Mở hướng dẫn")</f>
        <v>Mở hướng dẫn</v>
      </c>
    </row>
    <row r="26">
      <c r="A26" s="102">
        <v>22</v>
      </c>
      <c r="B26" s="101" t="inlineStr">
        <is>
          <t>DVD Cons</t>
        </is>
      </c>
      <c r="C26" s="101" t="inlineStr">
        <is>
          <t>Tiến độ</t>
        </is>
      </c>
      <c r="D26" s="101" t="inlineStr">
        <is>
          <t>Snapshot tuần</t>
        </is>
      </c>
      <c r="E26" s="103" t="inlineStr">
        <is>
          <t>Snapshot tuần</t>
        </is>
      </c>
      <c r="F26" s="101" t="inlineStr">
        <is>
          <t>Cập nhật tiến độ tới ngày chốt tuần: Hoàn thành (%) và chi phí thực tế AC (cần cột BAC để snapshot có SPI / CPI), rồi chạy Tự động tính.</t>
        </is>
      </c>
      <c r="G26" s="103" t="str">
        <f>HYPERLINK("https://dvdaddin.dvdpm.net/vi/commands/reference/btnSnapshotCapture","Mở hướng dẫn")</f>
        <v>Mở hướng dẫn</v>
      </c>
    </row>
    <row r="27">
      <c r="A27" s="102">
        <v>23</v>
      </c>
      <c r="B27" s="101" t="inlineStr">
        <is>
          <t>DVD Cons</t>
        </is>
      </c>
      <c r="C27" s="101" t="inlineStr">
        <is>
          <t>Tiến độ</t>
        </is>
      </c>
      <c r="D27" s="101" t="inlineStr">
        <is>
          <t>Xu hướng snapshot</t>
        </is>
      </c>
      <c r="E27" s="104" t="inlineStr">
        <is>
          <t>— (không cần dữ liệu mẫu)</t>
        </is>
      </c>
      <c r="F27" s="101" t="inlineStr">
        <is>
          <t/>
        </is>
      </c>
      <c r="G27" s="103" t="str">
        <f>HYPERLINK("https://dvdaddin.dvdpm.net/vi/commands/reference/btnSnapshotTrend","Mở hướng dẫn")</f>
        <v>Mở hướng dẫn</v>
      </c>
    </row>
    <row r="28">
      <c r="A28" s="102">
        <v>24</v>
      </c>
      <c r="B28" s="101" t="inlineStr">
        <is>
          <t>DVD Cons</t>
        </is>
      </c>
      <c r="C28" s="101" t="inlineStr">
        <is>
          <t>Tiến độ</t>
        </is>
      </c>
      <c r="D28" s="101" t="inlineStr">
        <is>
          <t>Nhân lực</t>
        </is>
      </c>
      <c r="E28" s="103" t="inlineStr">
        <is>
          <t>Nhân lực</t>
        </is>
      </c>
      <c r="F28" s="101" t="inlineStr">
        <is>
          <t>Mở sheet tiến độ có cột Nhân lực — số công nhân mỗi ngày của từng công tác (không có cột này thì lệnh đếm số công tác diễn ra đồng thời). Chạy Tự động tính để ngày là mới nhất.</t>
        </is>
      </c>
      <c r="G28" s="103" t="str">
        <f>HYPERLINK("https://dvdaddin.dvdpm.net/vi/commands/reference/btnManpower","Mở hướng dẫn")</f>
        <v>Mở hướng dẫn</v>
      </c>
    </row>
    <row r="29">
      <c r="A29" s="102">
        <v>25</v>
      </c>
      <c r="B29" s="101" t="inlineStr">
        <is>
          <t>DVD Cons</t>
        </is>
      </c>
      <c r="C29" s="101" t="inlineStr">
        <is>
          <t>Tiến độ</t>
        </is>
      </c>
      <c r="D29" s="101" t="inlineStr">
        <is>
          <t>Cân bằng nhân lực</t>
        </is>
      </c>
      <c r="E29" s="103" t="inlineStr">
        <is>
          <t>Cân bằng nhân lực</t>
        </is>
      </c>
      <c r="F29" s="101" t="inlineStr">
        <is>
          <t>Mở sheet tiến độ có cột Công tác trước (để giữ trình tự thi công) và Nhân lực .</t>
        </is>
      </c>
      <c r="G29" s="103" t="str">
        <f>HYPERLINK("https://dvdaddin.dvdpm.net/vi/commands/reference/btnResourceLevelling","Mở hướng dẫn")</f>
        <v>Mở hướng dẫn</v>
      </c>
    </row>
    <row r="30">
      <c r="A30" s="102">
        <v>26</v>
      </c>
      <c r="B30" s="101" t="inlineStr">
        <is>
          <t>DVD Cons</t>
        </is>
      </c>
      <c r="C30" s="101" t="inlineStr">
        <is>
          <t>Tiến độ</t>
        </is>
      </c>
      <c r="D30" s="101" t="inlineStr">
        <is>
          <t>Dòng tiền</t>
        </is>
      </c>
      <c r="E30" s="103" t="inlineStr">
        <is>
          <t>Dòng tiền</t>
        </is>
      </c>
      <c r="F30" s="101" t="inlineStr">
        <is>
          <t>Mở sheet tiến độ đã điền BAC (dự toán) cho từng công tác và đủ ngày Bắt đầu / Kết thúc; chạy Tự động tính để ngày là mới nhất.</t>
        </is>
      </c>
      <c r="G30" s="103" t="str">
        <f>HYPERLINK("https://dvdaddin.dvdpm.net/vi/commands/reference/btnCashflow","Mở hướng dẫn")</f>
        <v>Mở hướng dẫn</v>
      </c>
    </row>
    <row r="31">
      <c r="A31" s="102">
        <v>27</v>
      </c>
      <c r="B31" s="101" t="inlineStr">
        <is>
          <t>DVD Cons</t>
        </is>
      </c>
      <c r="C31" s="101" t="inlineStr">
        <is>
          <t>Cắt thép</t>
        </is>
      </c>
      <c r="D31" s="101" t="inlineStr">
        <is>
          <t>Cắt tối ưu</t>
        </is>
      </c>
      <c r="E31" s="103" t="inlineStr">
        <is>
          <t>Cắt tối ưu</t>
        </is>
      </c>
      <c r="F31" s="101" t="inlineStr">
        <is>
          <t>Mở workbook có sheet danh sách cắt bốn cột Ø (mm) · Chiều dài (mm) · Số lượng · Ký hiệu — sheet 2_CatThep do Thống kê thép → Xuất danh sách cắt ghi ra, hoặc tệp Mẫu Cắt thép. Dòng có Ø nhỏ hơn ngưỡng thép cuộn (mặc định 10 mm) không đem cắt, chỉ được cộng tổng mét và kg.</t>
        </is>
      </c>
      <c r="G31" s="103" t="str">
        <f>HYPERLINK("https://dvdaddin.dvdpm.net/vi/commands/reference/btnCuttingOptimizer","Mở hướng dẫn")</f>
        <v>Mở hướng dẫn</v>
      </c>
    </row>
    <row r="32">
      <c r="A32" s="102">
        <v>28</v>
      </c>
      <c r="B32" s="101" t="inlineStr">
        <is>
          <t>DVD Cons</t>
        </is>
      </c>
      <c r="C32" s="101" t="inlineStr">
        <is>
          <t>Cắt thép</t>
        </is>
      </c>
      <c r="D32" s="101" t="inlineStr">
        <is>
          <t>Nhập thống kê</t>
        </is>
      </c>
      <c r="E32" s="104" t="inlineStr">
        <is>
          <t>— (không cần dữ liệu mẫu)</t>
        </is>
      </c>
      <c r="F32" s="101" t="inlineStr">
        <is>
          <t/>
        </is>
      </c>
      <c r="G32" s="103" t="str">
        <f>HYPERLINK("https://dvdaddin.dvdpm.net/vi/commands/reference/btnRebarShape","Mở hướng dẫn")</f>
        <v>Mở hướng dẫn</v>
      </c>
    </row>
    <row r="33">
      <c r="A33" s="102">
        <v>29</v>
      </c>
      <c r="B33" s="101" t="inlineStr">
        <is>
          <t>DVD Cons</t>
        </is>
      </c>
      <c r="C33" s="101" t="inlineStr">
        <is>
          <t>Cắt thép</t>
        </is>
      </c>
      <c r="D33" s="101" t="inlineStr">
        <is>
          <t>Thống kê thép</t>
        </is>
      </c>
      <c r="E33" s="103" t="inlineStr">
        <is>
          <t>Thống kê thép</t>
        </is>
      </c>
      <c r="F33" s="101" t="inlineStr">
        <is>
          <t>Bôi đen bảng kích thước thép, gồm cả dòng tiêu đề . Cột hình dạng nhận cả mã (00, 21, 51…) lẫn chữ (thẳng, L, đai); chỉ cột đường kính là bắt buộc.</t>
        </is>
      </c>
      <c r="G33" s="103" t="str">
        <f>HYPERLINK("https://dvdaddin.dvdpm.net/vi/commands/reference/btnBendingSchedule","Mở hướng dẫn")</f>
        <v>Mở hướng dẫn</v>
      </c>
    </row>
    <row r="34">
      <c r="A34" s="102">
        <v>30</v>
      </c>
      <c r="B34" s="101" t="inlineStr">
        <is>
          <t>DVD Cons</t>
        </is>
      </c>
      <c r="C34" s="101" t="inlineStr">
        <is>
          <t>Cắt thép</t>
        </is>
      </c>
      <c r="D34" s="101" t="inlineStr">
        <is>
          <t>Cắt thanh 1D</t>
        </is>
      </c>
      <c r="E34" s="103" t="inlineStr">
        <is>
          <t>Cắt thanh 1D, Cắt thanh 1D · CatThanh_Thanh</t>
        </is>
      </c>
      <c r="F34" s="101" t="inlineStr">
        <is>
          <t>Nhập danh sách phôi cần cắt vào sheet CatThanh_Phoi — chưa có sheet thì tạo bằng Mẫu Cắt thanh. Ví dụ khung bao, giằng thép hộp 50×50 cho một sàn thao tác.</t>
        </is>
      </c>
      <c r="G34" s="103" t="str">
        <f>HYPERLINK("https://dvdaddin.dvdpm.net/vi/commands/reference/btnBarCut","Mở hướng dẫn")</f>
        <v>Mở hướng dẫn</v>
      </c>
    </row>
    <row r="35">
      <c r="A35" s="102">
        <v>31</v>
      </c>
      <c r="B35" s="101" t="inlineStr">
        <is>
          <t>DVD Cons</t>
        </is>
      </c>
      <c r="C35" s="101" t="inlineStr">
        <is>
          <t>Cắt thép</t>
        </is>
      </c>
      <c r="D35" s="101" t="inlineStr">
        <is>
          <t>Cắt tấm 2D</t>
        </is>
      </c>
      <c r="E35" s="103" t="inlineStr">
        <is>
          <t>Cắt tấm 2D, Cắt tấm 2D · CatTam_Tam</t>
        </is>
      </c>
      <c r="F35" s="101" t="inlineStr">
        <is>
          <t>Nhập phôi cần cắt vào sheet CatTam_Phoi — chưa có sheet thì tạo bằng Mẫu Cắt tấm. Ví dụ ván phủ phim cốp pha cho một tầng; cột Xoay (1/0) để 0 với ván thành cần giữ chiều vân.</t>
        </is>
      </c>
      <c r="G35" s="103" t="str">
        <f>HYPERLINK("https://dvdaddin.dvdpm.net/vi/commands/reference/btnPanelCut","Mở hướng dẫn")</f>
        <v>Mở hướng dẫn</v>
      </c>
    </row>
    <row r="36">
      <c r="A36" s="102">
        <v>32</v>
      </c>
      <c r="B36" s="101" t="inlineStr">
        <is>
          <t>DVD Cons</t>
        </is>
      </c>
      <c r="C36" s="101" t="inlineStr">
        <is>
          <t>Cắt thép</t>
        </is>
      </c>
      <c r="D36" s="101" t="inlineStr">
        <is>
          <t>Mẫu Cắt thép</t>
        </is>
      </c>
      <c r="E36" s="103" t="inlineStr">
        <is>
          <t>Mẫu Cắt thép</t>
        </is>
      </c>
      <c r="F36" s="101" t="inlineStr">
        <is>
          <t>Sang sheet 2_CatThep: bốn cột Ø (mm) · Chiều dài (mm) · Số lượng · Ký hiệu . Các dòng tô màu là dữ liệu ví dụ, như ghi chú bên phải — xoá hết rồi nhập danh sách đoạn cần cắt, hoặc dán từ Thống kê thép → Xuất danh sách cắt.</t>
        </is>
      </c>
      <c r="G36" s="103" t="str">
        <f>HYPERLINK("https://dvdaddin.dvdpm.net/vi/commands/reference/btnCuttingTpl","Mở hướng dẫn")</f>
        <v>Mở hướng dẫn</v>
      </c>
    </row>
    <row r="37">
      <c r="A37" s="102">
        <v>33</v>
      </c>
      <c r="B37" s="101" t="inlineStr">
        <is>
          <t>DVD Cons</t>
        </is>
      </c>
      <c r="C37" s="101" t="inlineStr">
        <is>
          <t>Cắt thép</t>
        </is>
      </c>
      <c r="D37" s="101" t="inlineStr">
        <is>
          <t>Mẫu Cắt thanh</t>
        </is>
      </c>
      <c r="E37" s="103" t="inlineStr">
        <is>
          <t>Mẫu Cắt thanh</t>
        </is>
      </c>
      <c r="F37" s="101" t="inlineStr">
        <is>
          <t>Add-in thêm hai sheet vào workbook đang mở (chưa mở workbook nào thì tạo workbook mới) và báo ✓ Đã tạo mẫu Cắt thanh. Sheet CatThanh_Phoi là danh sách phôi cần cắt — Dài · SL · Vật liệu · Nhãn · Ưu tiên, kèm 4 dòng ví dụ ; phôi có Ưu tiên cao hơn được xếp trước. Sheet nào đã có dữ liệu ở ô A1 thì được giữ nguyên, không ghi đè.</t>
        </is>
      </c>
      <c r="G37" s="103" t="str">
        <f>HYPERLINK("https://dvdaddin.dvdpm.net/vi/commands/reference/btnBarTpl","Mở hướng dẫn")</f>
        <v>Mở hướng dẫn</v>
      </c>
    </row>
    <row r="38">
      <c r="A38" s="102">
        <v>34</v>
      </c>
      <c r="B38" s="101" t="inlineStr">
        <is>
          <t>DVD Cons</t>
        </is>
      </c>
      <c r="C38" s="101" t="inlineStr">
        <is>
          <t>Cắt thép</t>
        </is>
      </c>
      <c r="D38" s="101" t="inlineStr">
        <is>
          <t>Mẫu Cắt tấm</t>
        </is>
      </c>
      <c r="E38" s="103" t="inlineStr">
        <is>
          <t>Mẫu Cắt tấm</t>
        </is>
      </c>
      <c r="F38" s="101" t="inlineStr">
        <is>
          <t>Xoá các dòng ví dụ rồi nhập phôi cần cắt vào CatTam_Phoi đúng thứ tự cột — ví dụ kính 8 mm cho vách mặt dựng. Cột Xoay (1/0) để 0 với kính định hướng, ván có vân hay tôn có sóng; hai cột Nẹp / Mài ghi các cạnh cần dán nẹp / mài (T B L R), để trống nếu không có.</t>
        </is>
      </c>
      <c r="G38" s="103" t="str">
        <f>HYPERLINK("https://dvdaddin.dvdpm.net/vi/commands/reference/btnPanelTpl","Mở hướng dẫn")</f>
        <v>Mở hướng dẫn</v>
      </c>
    </row>
    <row r="39">
      <c r="A39" s="102">
        <v>35</v>
      </c>
      <c r="B39" s="101" t="inlineStr">
        <is>
          <t>DVD Cons</t>
        </is>
      </c>
      <c r="C39" s="101" t="inlineStr">
        <is>
          <t>QAQC và Nhật ký</t>
        </is>
      </c>
      <c r="D39" s="101" t="inlineStr">
        <is>
          <t>Tạo Nhật ký</t>
        </is>
      </c>
      <c r="E39" s="103" t="inlineStr">
        <is>
          <t>Tạo Nhật ký</t>
        </is>
      </c>
      <c r="F39" s="101" t="inlineStr">
        <is>
          <t>Chuẩn bị bảng danh mục công tác : mỗi dòng một công tác với ngày bắt đầu, kết thúc, ngày nghiệm thu, nội dung và (tuỳ chọn) ngày nghỉ. Ghi ngày bắt đầu và ngày kết thúc của kỳ nhật ký vào hai ô riêng. Vùng dữ liệu phải gồm cả dòng tiêu đề — add-in bỏ qua dòng đầu tiên của vùng.</t>
        </is>
      </c>
      <c r="G39" s="103" t="str">
        <f>HYPERLINK("https://dvdaddin.dvdpm.net/vi/commands/reference/btnConsDiary","Mở hướng dẫn")</f>
        <v>Mở hướng dẫn</v>
      </c>
    </row>
    <row r="40">
      <c r="A40" s="102">
        <v>36</v>
      </c>
      <c r="B40" s="101" t="inlineStr">
        <is>
          <t>DVD Cons</t>
        </is>
      </c>
      <c r="C40" s="101" t="inlineStr">
        <is>
          <t>QAQC và Nhật ký</t>
        </is>
      </c>
      <c r="D40" s="101" t="inlineStr">
        <is>
          <t>Xuất danh mục</t>
        </is>
      </c>
      <c r="E40" s="103" t="inlineStr">
        <is>
          <t>Xuất danh mục</t>
        </is>
      </c>
      <c r="F40" s="101" t="inlineStr">
        <is>
          <t>Bảng theo dõi hồ sơ nghiệm thu có nhiều cột, nhưng biểu mẫu nộp TVGS chỉ cần công việc, vị trí, ngày và số biên bản. Xác định vùng dữ liệu — chỉ lấy các dòng dữ liệu, không lấy dòng tiêu đề (mọi dòng có chữ ở cột chuẩn đều bị xuất). Dòng nhóm như "A. PHẦN MÓNG" bỏ trống cột công việc nên sẽ không được xuất.</t>
        </is>
      </c>
      <c r="G40" s="103" t="str">
        <f>HYPERLINK("https://dvdaddin.dvdpm.net/vi/commands/reference/btnExportCategory","Mở hướng dẫn")</f>
        <v>Mở hướng dẫn</v>
      </c>
    </row>
    <row r="41">
      <c r="A41" s="102">
        <v>37</v>
      </c>
      <c r="B41" s="101" t="inlineStr">
        <is>
          <t>DVD Cons</t>
        </is>
      </c>
      <c r="C41" s="101" t="inlineStr">
        <is>
          <t>QAQC và Nhật ký</t>
        </is>
      </c>
      <c r="D41" s="101" t="inlineStr">
        <is>
          <t>Chọn ngày nghỉ</t>
        </is>
      </c>
      <c r="E41" s="103" t="inlineStr">
        <is>
          <t>Chọn ngày nghỉ</t>
        </is>
      </c>
      <c r="F41" s="101" t="inlineStr">
        <is>
          <t>Trong bảng danh mục công tác, chọn ô cột Ngày nghỉ của công tác cần khai — chọn nhiều ô nếu nhiều công tác nghỉ cùng các ngày đó (tối đa 500 ô).</t>
        </is>
      </c>
      <c r="G41" s="103" t="str">
        <f>HYPERLINK("https://dvdaddin.dvdpm.net/vi/commands/reference/btnRestDays","Mở hướng dẫn")</f>
        <v>Mở hướng dẫn</v>
      </c>
    </row>
    <row r="42">
      <c r="A42" s="102">
        <v>38</v>
      </c>
      <c r="B42" s="101" t="inlineStr">
        <is>
          <t>DVD Cons</t>
        </is>
      </c>
      <c r="C42" s="101" t="inlineStr">
        <is>
          <t>QAQC và Nhật ký</t>
        </is>
      </c>
      <c r="D42" s="101" t="inlineStr">
        <is>
          <t>Mẫu NT công việc</t>
        </is>
      </c>
      <c r="E42" s="103" t="inlineStr">
        <is>
          <t>Mẫu NT công việc</t>
        </is>
      </c>
      <c r="F42" s="101" t="inlineStr">
        <is>
          <t>Add-in mở file mẫu FormNTCV.xlsx trong thư mục cài add-in C:\DVDAddin\Template\ (không thấy thì tìm thư mục Template\ cạnh workbook đang mở, vẫn không có thì báo các đường dẫn đã tìm). Chuyển sang sheet TTC và điền thông tin chung : các biểu mẫu trong file lấy tên dự án, công trình, gói thầu và các bên từ đây; ô Tỉnh thành đứng đầu dòng "…, ngày … tháng … năm …" của biên bản.</t>
        </is>
      </c>
      <c r="G42" s="103" t="str">
        <f>HYPERLINK("https://dvdaddin.dvdpm.net/vi/commands/reference/btnWorkRecordTpl","Mở hướng dẫn")</f>
        <v>Mở hướng dẫn</v>
      </c>
    </row>
    <row r="43">
      <c r="A43" s="102">
        <v>39</v>
      </c>
      <c r="B43" s="101" t="inlineStr">
        <is>
          <t>DVD Cons</t>
        </is>
      </c>
      <c r="C43" s="101" t="inlineStr">
        <is>
          <t>QAQC và Nhật ký</t>
        </is>
      </c>
      <c r="D43" s="101" t="inlineStr">
        <is>
          <t>Mẫu NT vật liệu</t>
        </is>
      </c>
      <c r="E43" s="103" t="inlineStr">
        <is>
          <t>Mẫu NT vật liệu</t>
        </is>
      </c>
      <c r="F43" s="101" t="inlineStr">
        <is>
          <t>Add-in mở file mẫu FormNTVL.xlsx trong thư mục cài add-in C:\DVDAddin\Template\ (không thấy thì tìm thư mục Template\ cạnh workbook đang mở, vẫn không có thì báo các đường dẫn đã tìm). Chuyển sang sheet TTC và điền thông tin chung : các biểu mẫu trong file lấy tên dự án, công trình, gói thầu và các bên từ đây; ô Tỉnh thành đứng đầu dòng "…, ngày … tháng … năm …" của biên bản.</t>
        </is>
      </c>
      <c r="G43" s="103" t="str">
        <f>HYPERLINK("https://dvdaddin.dvdpm.net/vi/commands/reference/btnMaterialRecordTpl","Mở hướng dẫn")</f>
        <v>Mở hướng dẫn</v>
      </c>
    </row>
    <row r="44">
      <c r="A44" s="102">
        <v>40</v>
      </c>
      <c r="B44" s="101" t="inlineStr">
        <is>
          <t>DVD Cons</t>
        </is>
      </c>
      <c r="C44" s="101" t="inlineStr">
        <is>
          <t>QAQC và Nhật ký</t>
        </is>
      </c>
      <c r="D44" s="101" t="inlineStr">
        <is>
          <t>Mẫu Nhật ký</t>
        </is>
      </c>
      <c r="E44" s="103" t="inlineStr">
        <is>
          <t>Mẫu Nhật ký, DATA</t>
        </is>
      </c>
      <c r="F44" s="101" t="inlineStr">
        <is>
          <t>Add-in mở file mẫu FormNKCT.xlsx trong C:\DVDAddin\Template\ (hoặc thư mục Template\ cạnh workbook đang mở) ở sheet NKCT — trang nhật ký một ngày. Mọi ô của trang lấy từ sheet DATA: ngày , thời tiết, nhân lực và máy móc , vật tư ra vào, công việc thi công và nghiệm thu trong ngày. Dòng ngày dùng định dạng ô có sẵn địa danh "Tỉnh/TP" — sửa trong Format Cells cho đúng công trình.</t>
        </is>
      </c>
      <c r="G44" s="103" t="str">
        <f>HYPERLINK("https://dvdaddin.dvdpm.net/vi/commands/reference/btnDiaryTpl","Mở hướng dẫn")</f>
        <v>Mở hướng dẫn</v>
      </c>
    </row>
    <row r="45">
      <c r="A45" s="102">
        <v>41</v>
      </c>
      <c r="B45" s="101" t="inlineStr">
        <is>
          <t>DVD Cons</t>
        </is>
      </c>
      <c r="C45" s="101" t="inlineStr">
        <is>
          <t>QAQC và Nhật ký</t>
        </is>
      </c>
      <c r="D45" s="101" t="inlineStr">
        <is>
          <t>Kế hoạch TN</t>
        </is>
      </c>
      <c r="E45" s="103" t="inlineStr">
        <is>
          <t>Kế hoạch TN</t>
        </is>
      </c>
      <c r="F45" s="101" t="inlineStr">
        <is>
          <t>Bôi đen các ô chứa tên vật liệu (ví dụ cột tên vật tư của bảng khối lượng) .</t>
        </is>
      </c>
      <c r="G45" s="103" t="str">
        <f>HYPERLINK("https://dvdaddin.dvdpm.net/vi/commands/reference/btnTestPlan","Mở hướng dẫn")</f>
        <v>Mở hướng dẫn</v>
      </c>
    </row>
    <row r="46">
      <c r="A46" s="102">
        <v>42</v>
      </c>
      <c r="B46" s="101" t="inlineStr">
        <is>
          <t>DVD Cons</t>
        </is>
      </c>
      <c r="C46" s="101" t="inlineStr">
        <is>
          <t>QAQC và Nhật ký</t>
        </is>
      </c>
      <c r="D46" s="101" t="inlineStr">
        <is>
          <t>Kế hoạch NT</t>
        </is>
      </c>
      <c r="E46" s="103" t="inlineStr">
        <is>
          <t>Kế hoạch NT</t>
        </is>
      </c>
      <c r="F46" s="101" t="inlineStr">
        <is>
          <t>Mở sheet chứa bảng tiến độ. Add-in tự nhận dòng tiêu đề có cột Tên công việc và Bắt đầu / Kết thúc (cột Mã CV, Cấp nếu có) ; mỗi dòng công việc bên dưới sẽ thành một dòng kế hoạch nghiệm thu.</t>
        </is>
      </c>
      <c r="G46" s="103" t="str">
        <f>HYPERLINK("https://dvdaddin.dvdpm.net/vi/commands/reference/btnAcceptancePlan","Mở hướng dẫn")</f>
        <v>Mở hướng dẫn</v>
      </c>
    </row>
    <row r="47">
      <c r="A47" s="102">
        <v>43</v>
      </c>
      <c r="B47" s="101" t="inlineStr">
        <is>
          <t>DVD Cons</t>
        </is>
      </c>
      <c r="C47" s="101" t="inlineStr">
        <is>
          <t>QAQC và Nhật ký</t>
        </is>
      </c>
      <c r="D47" s="101" t="inlineStr">
        <is>
          <t>Biên bản NT</t>
        </is>
      </c>
      <c r="E47" s="103" t="inlineStr">
        <is>
          <t>Biên bản NT</t>
        </is>
      </c>
      <c r="F47" s="101" t="inlineStr">
        <is>
          <t>Mở sheet Ke hoach NT … do lệnh Kế hoạch NT lập và chọn các dòng công việc cần nghiệm thu — chọn nhiều khối rời bằng Ctrl được. Cột Tiêu chuẩn áp dụng sẽ được chép vào căn cứ nghiệm thu, nên rà soát và sửa nó thành đúng số hiệu tiêu chuẩn trước.</t>
        </is>
      </c>
      <c r="G47" s="103" t="str">
        <f>HYPERLINK("https://dvdaddin.dvdpm.net/vi/commands/reference/btnAcceptanceRecord","Mở hướng dẫn")</f>
        <v>Mở hướng dẫn</v>
      </c>
    </row>
    <row r="48">
      <c r="A48" s="102">
        <v>44</v>
      </c>
      <c r="B48" s="101" t="inlineStr">
        <is>
          <t>DVD Cons</t>
        </is>
      </c>
      <c r="C48" s="101" t="inlineStr">
        <is>
          <t>QAQC và Nhật ký</t>
        </is>
      </c>
      <c r="D48" s="101" t="inlineStr">
        <is>
          <t>Tồn tại</t>
        </is>
      </c>
      <c r="E48" s="104" t="inlineStr">
        <is>
          <t>— (không cần dữ liệu mẫu)</t>
        </is>
      </c>
      <c r="F48" s="101" t="inlineStr">
        <is>
          <t/>
        </is>
      </c>
      <c r="G48" s="103" t="str">
        <f>HYPERLINK("https://dvdaddin.dvdpm.net/vi/commands/reference/btnPunchList","Mở hướng dẫn")</f>
        <v>Mở hướng dẫn</v>
      </c>
    </row>
    <row r="49">
      <c r="A49" s="102">
        <v>45</v>
      </c>
      <c r="B49" s="101" t="inlineStr">
        <is>
          <t>DVD Cons</t>
        </is>
      </c>
      <c r="C49" s="101" t="inlineStr">
        <is>
          <t>QAQC và Nhật ký</t>
        </is>
      </c>
      <c r="D49" s="101" t="inlineStr">
        <is>
          <t>RFI</t>
        </is>
      </c>
      <c r="E49" s="104" t="inlineStr">
        <is>
          <t>— (không cần dữ liệu mẫu)</t>
        </is>
      </c>
      <c r="F49" s="101" t="inlineStr">
        <is>
          <t/>
        </is>
      </c>
      <c r="G49" s="103" t="str">
        <f>HYPERLINK("https://dvdaddin.dvdpm.net/vi/commands/reference/btnRfiRegister","Mở hướng dẫn")</f>
        <v>Mở hướng dẫn</v>
      </c>
    </row>
    <row r="50">
      <c r="A50" s="102">
        <v>46</v>
      </c>
      <c r="B50" s="101" t="inlineStr">
        <is>
          <t>DVD Cons</t>
        </is>
      </c>
      <c r="C50" s="101" t="inlineStr">
        <is>
          <t>QAQC và Nhật ký</t>
        </is>
      </c>
      <c r="D50" s="101" t="inlineStr">
        <is>
          <t>Trình duyệt</t>
        </is>
      </c>
      <c r="E50" s="104" t="inlineStr">
        <is>
          <t>— (không cần dữ liệu mẫu)</t>
        </is>
      </c>
      <c r="F50" s="101" t="inlineStr">
        <is>
          <t/>
        </is>
      </c>
      <c r="G50" s="103" t="str">
        <f>HYPERLINK("https://dvdaddin.dvdpm.net/vi/commands/reference/btnSubmittalRegister","Mở hướng dẫn")</f>
        <v>Mở hướng dẫn</v>
      </c>
    </row>
    <row r="51">
      <c r="A51" s="102">
        <v>47</v>
      </c>
      <c r="B51" s="101" t="inlineStr">
        <is>
          <t>DVD Cons</t>
        </is>
      </c>
      <c r="C51" s="101" t="inlineStr">
        <is>
          <t>QS</t>
        </is>
      </c>
      <c r="D51" s="101" t="inlineStr">
        <is>
          <t>AI Báo giá XD</t>
        </is>
      </c>
      <c r="E51" s="103" t="inlineStr">
        <is>
          <t>AI Báo giá XD</t>
        </is>
      </c>
      <c r="F51" s="101" t="inlineStr">
        <is>
          <t>Bôi đen vùng hạng mục cần báo giá, gồm cột Tên hạng mục, Đơn vị và (nếu có) Khối lượng . Cột đơn giá, nguồn giá, ghi chú bên phải để trống.</t>
        </is>
      </c>
      <c r="G51" s="103" t="str">
        <f>HYPERLINK("https://dvdaddin.dvdpm.net/vi/commands/reference/btnAIEstimate","Mở hướng dẫn")</f>
        <v>Mở hướng dẫn</v>
      </c>
    </row>
    <row r="52">
      <c r="A52" s="102">
        <v>48</v>
      </c>
      <c r="B52" s="101" t="inlineStr">
        <is>
          <t>DVD Cons</t>
        </is>
      </c>
      <c r="C52" s="101" t="inlineStr">
        <is>
          <t>QS</t>
        </is>
      </c>
      <c r="D52" s="101" t="inlineStr">
        <is>
          <t>Thanh toán theo kỳ</t>
        </is>
      </c>
      <c r="E52" s="103" t="inlineStr">
        <is>
          <t>Thanh toán theo kỳ</t>
        </is>
      </c>
      <c r="F52" s="101" t="inlineStr">
        <is>
          <t>Bôi đen bảng khối lượng hợp đồng, gồm cả dòng tiêu đề . Cột % HT lũy kế là tiến độ bạn cập nhật trước mỗi kỳ thanh toán.</t>
        </is>
      </c>
      <c r="G52" s="103" t="str">
        <f>HYPERLINK("https://dvdaddin.dvdpm.net/vi/commands/reference/btnPaymentValuation","Mở hướng dẫn")</f>
        <v>Mở hướng dẫn</v>
      </c>
    </row>
    <row r="53">
      <c r="A53" s="102">
        <v>49</v>
      </c>
      <c r="B53" s="101" t="inlineStr">
        <is>
          <t>DVD Cons</t>
        </is>
      </c>
      <c r="C53" s="101" t="inlineStr">
        <is>
          <t>QS</t>
        </is>
      </c>
      <c r="D53" s="101" t="inlineStr">
        <is>
          <t>So sánh BoQ</t>
        </is>
      </c>
      <c r="E53" s="103" t="inlineStr">
        <is>
          <t>So sánh BoQ</t>
        </is>
      </c>
      <c r="F53" s="101" t="inlineStr">
        <is>
          <t>Hai phiên bản BoQ cần cùng bố cục cột, ví dụ sheet Du thau và Nghiem thu trong cùng một tệp: cột B là mã hiệu dùng làm khoá so khớp , cột E là khối lượng . Không cần chọn vùng.</t>
        </is>
      </c>
      <c r="G53" s="103" t="str">
        <f>HYPERLINK("https://dvdaddin.dvdpm.net/vi/commands/reference/btnBoqCompare","Mở hướng dẫn")</f>
        <v>Mở hướng dẫn</v>
      </c>
    </row>
    <row r="54">
      <c r="A54" s="102">
        <v>50</v>
      </c>
      <c r="B54" s="101" t="inlineStr">
        <is>
          <t>DVD Cons</t>
        </is>
      </c>
      <c r="C54" s="101" t="inlineStr">
        <is>
          <t>QS</t>
        </is>
      </c>
      <c r="D54" s="101" t="inlineStr">
        <is>
          <t>Bù giá</t>
        </is>
      </c>
      <c r="E54" s="103" t="inlineStr">
        <is>
          <t>Bù giá</t>
        </is>
      </c>
      <c r="F54" s="101" t="inlineStr">
        <is>
          <t>Bôi đen bảng vật liệu được bù giá, gồm cả dòng tiêu đề : tên vật liệu, khối lượng, đơn giá gốc theo hợp đồng và đơn giá tại thời điểm điều chỉnh.</t>
        </is>
      </c>
      <c r="G54" s="103" t="str">
        <f>HYPERLINK("https://dvdaddin.dvdpm.net/vi/commands/reference/btnPriceAdjustment","Mở hướng dẫn")</f>
        <v>Mở hướng dẫn</v>
      </c>
    </row>
    <row r="55">
      <c r="A55" s="102">
        <v>51</v>
      </c>
      <c r="B55" s="101" t="inlineStr">
        <is>
          <t>DVD Cons</t>
        </is>
      </c>
      <c r="C55" s="101" t="inlineStr">
        <is>
          <t>QS</t>
        </is>
      </c>
      <c r="D55" s="101" t="inlineStr">
        <is>
          <t>Cầu nối dự toán</t>
        </is>
      </c>
      <c r="E55" s="103" t="inlineStr">
        <is>
          <t>Cầu nối dự toán</t>
        </is>
      </c>
      <c r="F55" s="101" t="inlineStr">
        <is>
          <t>Trong phần mềm dự toán, xuất bảng dự toán ra Excel. Bản xuất thường có vài dòng tên công trình, dòng tiêu đề cột , dòng chương và dòng cộng — không cần sửa gì, cũng không cần mở tệp này.</t>
        </is>
      </c>
      <c r="G55" s="103" t="str">
        <f>HYPERLINK("https://dvdaddin.dvdpm.net/vi/commands/reference/btnEstimateBridge","Mở hướng dẫn")</f>
        <v>Mở hướng dẫn</v>
      </c>
    </row>
    <row r="56">
      <c r="A56" s="102">
        <v>52</v>
      </c>
      <c r="B56" s="101" t="inlineStr">
        <is>
          <t>DVD Cons</t>
        </is>
      </c>
      <c r="C56" s="101" t="inlineStr">
        <is>
          <t>QS</t>
        </is>
      </c>
      <c r="D56" s="101" t="inlineStr">
        <is>
          <t>Đo bóc PDF</t>
        </is>
      </c>
      <c r="E56" s="104" t="inlineStr">
        <is>
          <t>— (không cần dữ liệu mẫu)</t>
        </is>
      </c>
      <c r="F56" s="101" t="inlineStr">
        <is>
          <t/>
        </is>
      </c>
      <c r="G56" s="103" t="str">
        <f>HYPERLINK("https://dvdaddin.dvdpm.net/vi/commands/reference/btnPdfTakeoff","Mở hướng dẫn")</f>
        <v>Mở hướng dẫn</v>
      </c>
    </row>
    <row r="57">
      <c r="A57" s="102">
        <v>53</v>
      </c>
      <c r="B57" s="101" t="inlineStr">
        <is>
          <t>DVD Cons</t>
        </is>
      </c>
      <c r="C57" s="101" t="inlineStr">
        <is>
          <t>QS</t>
        </is>
      </c>
      <c r="D57" s="101" t="inlineStr">
        <is>
          <t>So bản vẽ</t>
        </is>
      </c>
      <c r="E57" s="104" t="inlineStr">
        <is>
          <t>— (không cần dữ liệu mẫu)</t>
        </is>
      </c>
      <c r="F57" s="101" t="inlineStr">
        <is>
          <t/>
        </is>
      </c>
      <c r="G57" s="103" t="str">
        <f>HYPERLINK("https://dvdaddin.dvdpm.net/vi/commands/reference/btnPdfCompare","Mở hướng dẫn")</f>
        <v>Mở hướng dẫn</v>
      </c>
    </row>
    <row r="58">
      <c r="A58" s="102">
        <v>54</v>
      </c>
      <c r="B58" s="101" t="inlineStr">
        <is>
          <t>DVD Cons</t>
        </is>
      </c>
      <c r="C58" s="101" t="inlineStr">
        <is>
          <t>QS</t>
        </is>
      </c>
      <c r="D58" s="101" t="inlineStr">
        <is>
          <t>Truy vấn dữ liệu</t>
        </is>
      </c>
      <c r="E58" s="103" t="inlineStr">
        <is>
          <t>Truy vấn dữ liệu</t>
        </is>
      </c>
      <c r="F58" s="101" t="inlineStr">
        <is>
          <t>Chọn ô sẽ nhận kết quả — ở đây là ô khối lượng bê tông móng trong bảng tổng hợp.</t>
        </is>
      </c>
      <c r="G58" s="103" t="str">
        <f>HYPERLINK("https://dvdaddin.dvdpm.net/vi/commands/reference/btnSqlBuilder","Mở hướng dẫn")</f>
        <v>Mở hướng dẫn</v>
      </c>
    </row>
    <row r="59">
      <c r="A59" s="102">
        <v>55</v>
      </c>
      <c r="B59" s="101" t="inlineStr">
        <is>
          <t>DVD Cons</t>
        </is>
      </c>
      <c r="C59" s="101" t="inlineStr">
        <is>
          <t>QS</t>
        </is>
      </c>
      <c r="D59" s="101" t="inlineStr">
        <is>
          <t>Sổ phát sinh</t>
        </is>
      </c>
      <c r="E59" s="103" t="inlineStr">
        <is>
          <t>Sổ phát sinh</t>
        </is>
      </c>
      <c r="F59" s="101" t="inlineStr">
        <is>
          <t>Bôi đen bảng đo bóc các đầu việc phát sinh, gồm dòng tiêu đề . Khối lượng ghi dương là tăng, âm là giảm .</t>
        </is>
      </c>
      <c r="G59" s="103" t="str">
        <f>HYPERLINK("https://dvdaddin.dvdpm.net/vi/commands/reference/btnVariationRegister","Mở hướng dẫn")</f>
        <v>Mở hướng dẫn</v>
      </c>
    </row>
    <row r="60">
      <c r="A60" s="102">
        <v>56</v>
      </c>
      <c r="B60" s="101" t="inlineStr">
        <is>
          <t>DVD Cons</t>
        </is>
      </c>
      <c r="C60" s="101" t="inlineStr">
        <is>
          <t>Hệ thống kết nối</t>
        </is>
      </c>
      <c r="D60" s="101" t="inlineStr">
        <is>
          <t>Kết nối Server</t>
        </is>
      </c>
      <c r="E60" s="104" t="inlineStr">
        <is>
          <t>— (không cần dữ liệu mẫu)</t>
        </is>
      </c>
      <c r="F60" s="101" t="inlineStr">
        <is>
          <t/>
        </is>
      </c>
      <c r="G60" s="103" t="str">
        <f>HYPERLINK("https://dvdaddin.dvdpm.net/vi/commands/reference/btnConnect","Mở hướng dẫn")</f>
        <v>Mở hướng dẫn</v>
      </c>
    </row>
    <row r="61">
      <c r="A61" s="102">
        <v>57</v>
      </c>
      <c r="B61" s="101" t="inlineStr">
        <is>
          <t>DVD Cons</t>
        </is>
      </c>
      <c r="C61" s="101" t="inlineStr">
        <is>
          <t>Hệ thống kết nối</t>
        </is>
      </c>
      <c r="D61" s="101" t="inlineStr">
        <is>
          <t>Ngắt kết nối</t>
        </is>
      </c>
      <c r="E61" s="104" t="inlineStr">
        <is>
          <t>— (không cần dữ liệu mẫu)</t>
        </is>
      </c>
      <c r="F61" s="101" t="inlineStr">
        <is>
          <t/>
        </is>
      </c>
      <c r="G61" s="103" t="str">
        <f>HYPERLINK("https://dvdaddin.dvdpm.net/vi/commands/reference/btnDisconnect","Mở hướng dẫn")</f>
        <v>Mở hướng dẫn</v>
      </c>
    </row>
    <row r="62">
      <c r="A62" s="102">
        <v>58</v>
      </c>
      <c r="B62" s="101" t="inlineStr">
        <is>
          <t>DVD Cons</t>
        </is>
      </c>
      <c r="C62" s="101" t="inlineStr">
        <is>
          <t>Hệ thống kết nối</t>
        </is>
      </c>
      <c r="D62" s="101" t="inlineStr">
        <is>
          <t>Gửi Định dạng</t>
        </is>
      </c>
      <c r="E62" s="103" t="inlineStr">
        <is>
          <t>Gửi Định dạng</t>
        </is>
      </c>
      <c r="F62" s="101" t="inlineStr">
        <is>
          <t>Đang ở trong phiên làm việc nhóm (nút Kết nối hiện Đã nối · …), định dạng vùng cho ưng ý trên máy bạn rồi bôi đen đúng vùng cần gửi — ví dụ dải tiêu đề A5:G5 của sheet Tong hop .</t>
        </is>
      </c>
      <c r="G62" s="103" t="str">
        <f>HYPERLINK("https://dvdaddin.dvdpm.net/vi/commands/reference/btnSyncFormat","Mở hướng dẫn")</f>
        <v>Mở hướng dẫn</v>
      </c>
    </row>
    <row r="63">
      <c r="A63" s="102">
        <v>59</v>
      </c>
      <c r="B63" s="101" t="inlineStr">
        <is>
          <t>DVD Cons</t>
        </is>
      </c>
      <c r="C63" s="101" t="inlineStr">
        <is>
          <t>Hệ thống kết nối</t>
        </is>
      </c>
      <c r="D63" s="101" t="inlineStr">
        <is>
          <t>Quản trị viên</t>
        </is>
      </c>
      <c r="E63" s="104" t="inlineStr">
        <is>
          <t>— (không cần dữ liệu mẫu)</t>
        </is>
      </c>
      <c r="F63" s="101" t="inlineStr">
        <is>
          <t/>
        </is>
      </c>
      <c r="G63" s="103" t="str">
        <f>HYPERLINK("https://dvdaddin.dvdpm.net/vi/commands/reference/btnAdmin","Mở hướng dẫn")</f>
        <v>Mở hướng dẫn</v>
      </c>
    </row>
    <row r="64">
      <c r="A64" s="102">
        <v>60</v>
      </c>
      <c r="B64" s="101" t="inlineStr">
        <is>
          <t>DVD Cons</t>
        </is>
      </c>
      <c r="C64" s="101" t="inlineStr">
        <is>
          <t>⚡ Thao tác nhanh</t>
        </is>
      </c>
      <c r="D64" s="101" t="inlineStr">
        <is>
          <t>Tìm lệnh nhanh</t>
        </is>
      </c>
      <c r="E64" s="104" t="inlineStr">
        <is>
          <t>— (không cần dữ liệu mẫu)</t>
        </is>
      </c>
      <c r="F64" s="101" t="inlineStr">
        <is>
          <t/>
        </is>
      </c>
      <c r="G64" s="103" t="str">
        <f>HYPERLINK("https://dvdaddin.dvdpm.net/vi/commands/reference/btnQuickActions","Mở hướng dẫn")</f>
        <v>Mở hướng dẫn</v>
      </c>
    </row>
    <row r="65">
      <c r="A65" s="102">
        <v>61</v>
      </c>
      <c r="B65" s="101" t="inlineStr">
        <is>
          <t>DVD Addin</t>
        </is>
      </c>
      <c r="C65" s="101" t="inlineStr">
        <is>
          <t>Văn bản và Số</t>
        </is>
      </c>
      <c r="D65" s="101" t="inlineStr">
        <is>
          <t>Đánh số</t>
        </is>
      </c>
      <c r="E65" s="103" t="inlineStr">
        <is>
          <t>Đánh số</t>
        </is>
      </c>
      <c r="F65" s="101" t="inlineStr">
        <is>
          <t>Bôi đen cột STT cần đánh số . Ô gộp A5:A7 chỉ tính là một ô; dòng đang ẩn (dòng 9, ví dụ do lọc) được bỏ qua.</t>
        </is>
      </c>
      <c r="G65" s="103" t="str">
        <f>HYPERLINK("https://dvdaddin.dvdpm.net/vi/commands/reference/btnNumbering","Mở hướng dẫn")</f>
        <v>Mở hướng dẫn</v>
      </c>
    </row>
    <row r="66">
      <c r="A66" s="102">
        <v>62</v>
      </c>
      <c r="B66" s="101" t="inlineStr">
        <is>
          <t>DVD Addin</t>
        </is>
      </c>
      <c r="C66" s="101" t="inlineStr">
        <is>
          <t>Văn bản và Số</t>
        </is>
      </c>
      <c r="D66" s="101" t="inlineStr">
        <is>
          <t>Số La Mã</t>
        </is>
      </c>
      <c r="E66" s="103" t="inlineStr">
        <is>
          <t>Số La Mã</t>
        </is>
      </c>
      <c r="F66" s="101" t="inlineStr">
        <is>
          <t>Bôi đen các ô cần điền số La Mã — ở đây là cột STT của các hạng mục lớn .</t>
        </is>
      </c>
      <c r="G66" s="103" t="str">
        <f>HYPERLINK("https://dvdaddin.dvdpm.net/vi/commands/reference/btnRomanSerial","Mở hướng dẫn")</f>
        <v>Mở hướng dẫn</v>
      </c>
    </row>
    <row r="67">
      <c r="A67" s="102">
        <v>63</v>
      </c>
      <c r="B67" s="101" t="inlineStr">
        <is>
          <t>DVD Addin</t>
        </is>
      </c>
      <c r="C67" s="101" t="inlineStr">
        <is>
          <t>Văn bản và Số</t>
        </is>
      </c>
      <c r="D67" s="101" t="inlineStr">
        <is>
          <t>Chữ HOA</t>
        </is>
      </c>
      <c r="E67" s="103" t="inlineStr">
        <is>
          <t>Chữ HOA</t>
        </is>
      </c>
      <c r="F67" s="101" t="inlineStr">
        <is>
          <t>Bôi đen cột cần điền ký hiệu chữ . Ô gộp A6:A7 (một phụ lục gồm hai tài liệu) chỉ tính là một ô.</t>
        </is>
      </c>
      <c r="G67" s="103" t="str">
        <f>HYPERLINK("https://dvdaddin.dvdpm.net/vi/commands/reference/btnUpperLettersSerial","Mở hướng dẫn")</f>
        <v>Mở hướng dẫn</v>
      </c>
    </row>
    <row r="68">
      <c r="A68" s="102">
        <v>64</v>
      </c>
      <c r="B68" s="101" t="inlineStr">
        <is>
          <t>DVD Addin</t>
        </is>
      </c>
      <c r="C68" s="101" t="inlineStr">
        <is>
          <t>Văn bản và Số</t>
        </is>
      </c>
      <c r="D68" s="101" t="inlineStr">
        <is>
          <t>Chữ thường</t>
        </is>
      </c>
      <c r="E68" s="103" t="inlineStr">
        <is>
          <t>Chữ thường</t>
        </is>
      </c>
      <c r="F68" s="101" t="inlineStr">
        <is>
          <t>Bôi đen các ô TT của các lớp chi tiết thuộc mục 2 .</t>
        </is>
      </c>
      <c r="G68" s="103" t="str">
        <f>HYPERLINK("https://dvdaddin.dvdpm.net/vi/commands/reference/btnLowerLettersSerial","Mở hướng dẫn")</f>
        <v>Mở hướng dẫn</v>
      </c>
    </row>
    <row r="69">
      <c r="A69" s="102">
        <v>65</v>
      </c>
      <c r="B69" s="101" t="inlineStr">
        <is>
          <t>DVD Addin</t>
        </is>
      </c>
      <c r="C69" s="101" t="inlineStr">
        <is>
          <t>Văn bản và Số</t>
        </is>
      </c>
      <c r="D69" s="101" t="inlineStr">
        <is>
          <t>Đánh Level</t>
        </is>
      </c>
      <c r="E69" s="103" t="inlineStr">
        <is>
          <t>Đánh Level</t>
        </is>
      </c>
      <c r="F69" s="101" t="inlineStr">
        <is>
          <t>Chuẩn bị bảng: tô màu nền cột nội dung theo cấp ; lập bảng chú giải màu, mỗi ô một cấp, trên→dưới là cấp 1, 2, 3 ; chừa cột Level ở bên phải cùng để nhận kết quả .</t>
        </is>
      </c>
      <c r="G69" s="103" t="str">
        <f>HYPERLINK("https://dvdaddin.dvdpm.net/vi/commands/reference/btnAssignLevel","Mở hướng dẫn")</f>
        <v>Mở hướng dẫn</v>
      </c>
    </row>
    <row r="70">
      <c r="A70" s="102">
        <v>66</v>
      </c>
      <c r="B70" s="101" t="inlineStr">
        <is>
          <t>DVD Addin</t>
        </is>
      </c>
      <c r="C70" s="101" t="inlineStr">
        <is>
          <t>Văn bản và Số</t>
        </is>
      </c>
      <c r="D70" s="101" t="inlineStr">
        <is>
          <t>Chấm tròn đặc</t>
        </is>
      </c>
      <c r="E70" s="103" t="inlineStr">
        <is>
          <t>Chấm tròn đặc</t>
        </is>
      </c>
      <c r="F70" s="101" t="inlineStr">
        <is>
          <t>Bôi đen các ô cần thêm ký hiệu . Ô có nhiều dòng (xuống dòng bằng Alt+Enter) sẽ được thêm ký hiệu ở từng dòng.</t>
        </is>
      </c>
      <c r="G70" s="103" t="str">
        <f>HYPERLINK("https://dvdaddin.dvdpm.net/vi/commands/reference/btnBlackCircle","Mở hướng dẫn")</f>
        <v>Mở hướng dẫn</v>
      </c>
    </row>
    <row r="71">
      <c r="A71" s="102">
        <v>67</v>
      </c>
      <c r="B71" s="101" t="inlineStr">
        <is>
          <t>DVD Addin</t>
        </is>
      </c>
      <c r="C71" s="101" t="inlineStr">
        <is>
          <t>Văn bản và Số</t>
        </is>
      </c>
      <c r="D71" s="101" t="inlineStr">
        <is>
          <t>Sao đặc</t>
        </is>
      </c>
      <c r="E71" s="103" t="inlineStr">
        <is>
          <t>Sao đặc</t>
        </is>
      </c>
      <c r="F71" s="101" t="inlineStr">
        <is>
          <t>Bôi đen các ô cần nhấn mạnh — ở đây là ba điểm dừng bắt buộc (H) của kế hoạch ITP .</t>
        </is>
      </c>
      <c r="G71" s="103" t="str">
        <f>HYPERLINK("https://dvdaddin.dvdpm.net/vi/commands/reference/btnBlackStar","Mở hướng dẫn")</f>
        <v>Mở hướng dẫn</v>
      </c>
    </row>
    <row r="72">
      <c r="A72" s="102">
        <v>68</v>
      </c>
      <c r="B72" s="101" t="inlineStr">
        <is>
          <t>DVD Addin</t>
        </is>
      </c>
      <c r="C72" s="101" t="inlineStr">
        <is>
          <t>Văn bản và Số</t>
        </is>
      </c>
      <c r="D72" s="101" t="inlineStr">
        <is>
          <t>Gạch ngang</t>
        </is>
      </c>
      <c r="E72" s="103" t="inlineStr">
        <is>
          <t>Gạch ngang</t>
        </is>
      </c>
      <c r="F72" s="101" t="inlineStr">
        <is>
          <t>Bôi đen các ô cần thêm ký hiệu — ở đây là hai ô liệt kê vật liệu, mỗi vật liệu một dòng .</t>
        </is>
      </c>
      <c r="G72" s="103" t="str">
        <f>HYPERLINK("https://dvdaddin.dvdpm.net/vi/commands/reference/btnMinusSign","Mở hướng dẫn")</f>
        <v>Mở hướng dẫn</v>
      </c>
    </row>
    <row r="73">
      <c r="A73" s="102">
        <v>69</v>
      </c>
      <c r="B73" s="101" t="inlineStr">
        <is>
          <t>DVD Addin</t>
        </is>
      </c>
      <c r="C73" s="101" t="inlineStr">
        <is>
          <t>Văn bản và Số</t>
        </is>
      </c>
      <c r="D73" s="101" t="inlineStr">
        <is>
          <t>Kim cương đặc</t>
        </is>
      </c>
      <c r="E73" s="103" t="inlineStr">
        <is>
          <t>Kim cương đặc</t>
        </is>
      </c>
      <c r="F73" s="101" t="inlineStr">
        <is>
          <t>Bôi đen các ô cần thêm ký hiệu — ở đây là cột mốc tiến độ .</t>
        </is>
      </c>
      <c r="G73" s="103" t="str">
        <f>HYPERLINK("https://dvdaddin.dvdpm.net/vi/commands/reference/btnBlackDiamond","Mở hướng dẫn")</f>
        <v>Mở hướng dẫn</v>
      </c>
    </row>
    <row r="74">
      <c r="A74" s="102">
        <v>70</v>
      </c>
      <c r="B74" s="101" t="inlineStr">
        <is>
          <t>DVD Addin</t>
        </is>
      </c>
      <c r="C74" s="101" t="inlineStr">
        <is>
          <t>Văn bản và Số</t>
        </is>
      </c>
      <c r="D74" s="101" t="inlineStr">
        <is>
          <t>Dấu cộng</t>
        </is>
      </c>
      <c r="E74" s="103" t="inlineStr">
        <is>
          <t>Dấu cộng</t>
        </is>
      </c>
      <c r="F74" s="101" t="inlineStr">
        <is>
          <t>Bôi đen các ô cần thêm ký hiệu — ở đây là nội dung các hạng mục phát sinh .</t>
        </is>
      </c>
      <c r="G74" s="103" t="str">
        <f>HYPERLINK("https://dvdaddin.dvdpm.net/vi/commands/reference/btnPlusSign","Mở hướng dẫn")</f>
        <v>Mở hướng dẫn</v>
      </c>
    </row>
    <row r="75">
      <c r="A75" s="102">
        <v>71</v>
      </c>
      <c r="B75" s="101" t="inlineStr">
        <is>
          <t>DVD Addin</t>
        </is>
      </c>
      <c r="C75" s="101" t="inlineStr">
        <is>
          <t>Văn bản và Số</t>
        </is>
      </c>
      <c r="D75" s="101" t="inlineStr">
        <is>
          <t>Hoa thị</t>
        </is>
      </c>
      <c r="E75" s="103" t="inlineStr">
        <is>
          <t>Hoa thị</t>
        </is>
      </c>
      <c r="F75" s="101" t="inlineStr">
        <is>
          <t>Chọn ô ghi chú cuối bảng — ô gộp nhiều dòng, mỗi điều kiện một dòng .</t>
        </is>
      </c>
      <c r="G75" s="103" t="str">
        <f>HYPERLINK("https://dvdaddin.dvdpm.net/vi/commands/reference/btnAsterisk","Mở hướng dẫn")</f>
        <v>Mở hướng dẫn</v>
      </c>
    </row>
    <row r="76">
      <c r="A76" s="102">
        <v>72</v>
      </c>
      <c r="B76" s="101" t="inlineStr">
        <is>
          <t>DVD Addin</t>
        </is>
      </c>
      <c r="C76" s="101" t="inlineStr">
        <is>
          <t>Văn bản và Số</t>
        </is>
      </c>
      <c r="D76" s="101" t="inlineStr">
        <is>
          <t>Checkbox</t>
        </is>
      </c>
      <c r="E76" s="103" t="inlineStr">
        <is>
          <t>Checkbox</t>
        </is>
      </c>
      <c r="F76" s="101" t="inlineStr">
        <is>
          <t>Bôi đen các đầu mục cần đánh dấu .</t>
        </is>
      </c>
      <c r="G76" s="103" t="str">
        <f>HYPERLINK("https://dvdaddin.dvdpm.net/vi/commands/reference/btnCheckbox","Mở hướng dẫn")</f>
        <v>Mở hướng dẫn</v>
      </c>
    </row>
    <row r="77">
      <c r="A77" s="102">
        <v>73</v>
      </c>
      <c r="B77" s="101" t="inlineStr">
        <is>
          <t>DVD Addin</t>
        </is>
      </c>
      <c r="C77" s="101" t="inlineStr">
        <is>
          <t>Văn bản và Số</t>
        </is>
      </c>
      <c r="D77" s="101" t="inlineStr">
        <is>
          <t>Đã tích</t>
        </is>
      </c>
      <c r="E77" s="103" t="inlineStr">
        <is>
          <t>Đã tích</t>
        </is>
      </c>
      <c r="F77" s="101" t="inlineStr">
        <is>
          <t>Bôi đen các dòng đã hoàn thành — ở đây là ba hồ sơ đã nộp .</t>
        </is>
      </c>
      <c r="G77" s="103" t="str">
        <f>HYPERLINK("https://dvdaddin.dvdpm.net/vi/commands/reference/btnVCheckbox","Mở hướng dẫn")</f>
        <v>Mở hướng dẫn</v>
      </c>
    </row>
    <row r="78">
      <c r="A78" s="102">
        <v>74</v>
      </c>
      <c r="B78" s="101" t="inlineStr">
        <is>
          <t>DVD Addin</t>
        </is>
      </c>
      <c r="C78" s="101" t="inlineStr">
        <is>
          <t>Văn bản và Số</t>
        </is>
      </c>
      <c r="D78" s="101" t="inlineStr">
        <is>
          <t>Loại</t>
        </is>
      </c>
      <c r="E78" s="103" t="inlineStr">
        <is>
          <t>Loại</t>
        </is>
      </c>
      <c r="F78" s="101" t="inlineStr">
        <is>
          <t>Bôi đen các mục không đạt .</t>
        </is>
      </c>
      <c r="G78" s="103" t="str">
        <f>HYPERLINK("https://dvdaddin.dvdpm.net/vi/commands/reference/btnXCheckbox","Mở hướng dẫn")</f>
        <v>Mở hướng dẫn</v>
      </c>
    </row>
    <row r="79">
      <c r="A79" s="102">
        <v>75</v>
      </c>
      <c r="B79" s="101" t="inlineStr">
        <is>
          <t>DVD Addin</t>
        </is>
      </c>
      <c r="C79" s="101" t="inlineStr">
        <is>
          <t>Văn bản và Số</t>
        </is>
      </c>
      <c r="D79" s="101" t="inlineStr">
        <is>
          <t>Bỏ ký hiệu đầu dòng</t>
        </is>
      </c>
      <c r="E79" s="103" t="inlineStr">
        <is>
          <t>Bỏ ký hiệu đầu dòng</t>
        </is>
      </c>
      <c r="F79" s="101" t="inlineStr">
        <is>
          <t>Bôi đen các ô đang có ký hiệu đầu dòng (●, −, ★, ☐…) cần gỡ .</t>
        </is>
      </c>
      <c r="G79" s="103" t="str">
        <f>HYPERLINK("https://dvdaddin.dvdpm.net/vi/commands/reference/btnNone_1","Mở hướng dẫn")</f>
        <v>Mở hướng dẫn</v>
      </c>
    </row>
    <row r="80">
      <c r="A80" s="102">
        <v>76</v>
      </c>
      <c r="B80" s="101" t="inlineStr">
        <is>
          <t>DVD Addin</t>
        </is>
      </c>
      <c r="C80" s="101" t="inlineStr">
        <is>
          <t>Văn bản và Số</t>
        </is>
      </c>
      <c r="D80" s="101" t="inlineStr">
        <is>
          <t>Danh sách số</t>
        </is>
      </c>
      <c r="E80" s="103" t="inlineStr">
        <is>
          <t>Danh sách số</t>
        </is>
      </c>
      <c r="F80" s="101" t="inlineStr">
        <is>
          <t>Bôi đen các ô cần đánh số . Ô nhiều dòng (Alt+Enter) sẽ nhận một số cho mỗi dòng.</t>
        </is>
      </c>
      <c r="G80" s="103" t="str">
        <f>HYPERLINK("https://dvdaddin.dvdpm.net/vi/commands/reference/btnNumberingList","Mở hướng dẫn")</f>
        <v>Mở hướng dẫn</v>
      </c>
    </row>
    <row r="81">
      <c r="A81" s="102">
        <v>77</v>
      </c>
      <c r="B81" s="101" t="inlineStr">
        <is>
          <t>DVD Addin</t>
        </is>
      </c>
      <c r="C81" s="101" t="inlineStr">
        <is>
          <t>Văn bản và Số</t>
        </is>
      </c>
      <c r="D81" s="101" t="inlineStr">
        <is>
          <t>Danh sách La Mã</t>
        </is>
      </c>
      <c r="E81" s="103" t="inlineStr">
        <is>
          <t>Danh sách La Mã</t>
        </is>
      </c>
      <c r="F81" s="101" t="inlineStr">
        <is>
          <t>Bôi đen các ô hạng mục lớn cần đánh số La Mã .</t>
        </is>
      </c>
      <c r="G81" s="103" t="str">
        <f>HYPERLINK("https://dvdaddin.dvdpm.net/vi/commands/reference/btnRomanList","Mở hướng dẫn")</f>
        <v>Mở hướng dẫn</v>
      </c>
    </row>
    <row r="82">
      <c r="A82" s="102">
        <v>78</v>
      </c>
      <c r="B82" s="101" t="inlineStr">
        <is>
          <t>DVD Addin</t>
        </is>
      </c>
      <c r="C82" s="101" t="inlineStr">
        <is>
          <t>Văn bản và Số</t>
        </is>
      </c>
      <c r="D82" s="101" t="inlineStr">
        <is>
          <t>Danh sách HOA</t>
        </is>
      </c>
      <c r="E82" s="103" t="inlineStr">
        <is>
          <t>Danh sách HOA</t>
        </is>
      </c>
      <c r="F82" s="101" t="inlineStr">
        <is>
          <t>Bôi đen các ô mục lớn cần đánh chữ .</t>
        </is>
      </c>
      <c r="G82" s="103" t="str">
        <f>HYPERLINK("https://dvdaddin.dvdpm.net/vi/commands/reference/btnUpperLettersList","Mở hướng dẫn")</f>
        <v>Mở hướng dẫn</v>
      </c>
    </row>
    <row r="83">
      <c r="A83" s="102">
        <v>79</v>
      </c>
      <c r="B83" s="101" t="inlineStr">
        <is>
          <t>DVD Addin</t>
        </is>
      </c>
      <c r="C83" s="101" t="inlineStr">
        <is>
          <t>Văn bản và Số</t>
        </is>
      </c>
      <c r="D83" s="101" t="inlineStr">
        <is>
          <t>Danh sách thường</t>
        </is>
      </c>
      <c r="E83" s="103" t="inlineStr">
        <is>
          <t>Danh sách thường</t>
        </is>
      </c>
      <c r="F83" s="101" t="inlineStr">
        <is>
          <t>Bôi đen các ô đầu việc con cần đánh chữ .</t>
        </is>
      </c>
      <c r="G83" s="103" t="str">
        <f>HYPERLINK("https://dvdaddin.dvdpm.net/vi/commands/reference/btnLowerLettersList","Mở hướng dẫn")</f>
        <v>Mở hướng dẫn</v>
      </c>
    </row>
    <row r="84">
      <c r="A84" s="102">
        <v>80</v>
      </c>
      <c r="B84" s="101" t="inlineStr">
        <is>
          <t>DVD Addin</t>
        </is>
      </c>
      <c r="C84" s="101" t="inlineStr">
        <is>
          <t>Văn bản và Số</t>
        </is>
      </c>
      <c r="D84" s="101" t="inlineStr">
        <is>
          <t>Bỏ đánh số danh sách</t>
        </is>
      </c>
      <c r="E84" s="103" t="inlineStr">
        <is>
          <t>Bỏ đánh số danh sách</t>
        </is>
      </c>
      <c r="F84" s="101" t="inlineStr">
        <is>
          <t>Bôi đen các ô có tiền tố đánh số cần gỡ — ở đây số đã sai sau khi chèn dòng (hai mục cùng số 3) .</t>
        </is>
      </c>
      <c r="G84" s="103" t="str">
        <f>HYPERLINK("https://dvdaddin.dvdpm.net/vi/commands/reference/btnNone_2","Mở hướng dẫn")</f>
        <v>Mở hướng dẫn</v>
      </c>
    </row>
    <row r="85">
      <c r="A85" s="102">
        <v>81</v>
      </c>
      <c r="B85" s="101" t="inlineStr">
        <is>
          <t>DVD Addin</t>
        </is>
      </c>
      <c r="C85" s="101" t="inlineStr">
        <is>
          <t>Văn bản và Số</t>
        </is>
      </c>
      <c r="D85" s="101" t="inlineStr">
        <is>
          <t>Đa cấp 1.1.1</t>
        </is>
      </c>
      <c r="E85" s="103" t="inlineStr">
        <is>
          <t>Đa cấp 1.1.1</t>
        </is>
      </c>
      <c r="F85" s="101" t="inlineStr">
        <is>
          <t>Dựng cây phân cấp bằng nút Tăng thụt lề (Increase Indent) trên tab Trang đầu: mức thụt nhỏ nhất là cấp 1, mức kế tiếp cấp 2… Rồi bôi đen cả cột hạng mục, từ cấp cao nhất .</t>
        </is>
      </c>
      <c r="G85" s="103" t="str">
        <f>HYPERLINK("https://dvdaddin.dvdpm.net/vi/commands/reference/btnMultilevelNumbering","Mở hướng dẫn")</f>
        <v>Mở hướng dẫn</v>
      </c>
    </row>
    <row r="86">
      <c r="A86" s="102">
        <v>82</v>
      </c>
      <c r="B86" s="101" t="inlineStr">
        <is>
          <t>DVD Addin</t>
        </is>
      </c>
      <c r="C86" s="101" t="inlineStr">
        <is>
          <t>Văn bản và Số</t>
        </is>
      </c>
      <c r="D86" s="101" t="inlineStr">
        <is>
          <t>Bỏ đánh số đa cấp</t>
        </is>
      </c>
      <c r="E86" s="103" t="inlineStr">
        <is>
          <t>Bỏ đánh số đa cấp</t>
        </is>
      </c>
      <c r="F86" s="101" t="inlineStr">
        <is>
          <t>Bôi đen các ô đang mang số đa cấp cần gỡ — thường làm trước khi đánh số lại vì đã chèn thêm hạng mục .</t>
        </is>
      </c>
      <c r="G86" s="103" t="str">
        <f>HYPERLINK("https://dvdaddin.dvdpm.net/vi/commands/reference/btnNone_3","Mở hướng dẫn")</f>
        <v>Mở hướng dẫn</v>
      </c>
    </row>
    <row r="87">
      <c r="A87" s="102">
        <v>83</v>
      </c>
      <c r="B87" s="101" t="inlineStr">
        <is>
          <t>DVD Addin</t>
        </is>
      </c>
      <c r="C87" s="101" t="inlineStr">
        <is>
          <t>Văn bản và Số</t>
        </is>
      </c>
      <c r="D87" s="101" t="inlineStr">
        <is>
          <t>Hoa đầu câu</t>
        </is>
      </c>
      <c r="E87" s="103" t="inlineStr">
        <is>
          <t>Hoa đầu câu</t>
        </is>
      </c>
      <c r="F87" s="101" t="inlineStr">
        <is>
          <t>Bôi đen các ô văn bản cần chuẩn hóa, ví dụ cột diễn giải công việc gõ lộn xộn hoa/thường và thừa dấu cách .</t>
        </is>
      </c>
      <c r="G87" s="103" t="str">
        <f>HYPERLINK("https://dvdaddin.dvdpm.net/vi/commands/reference/btnSentencecase","Mở hướng dẫn")</f>
        <v>Mở hướng dẫn</v>
      </c>
    </row>
    <row r="88">
      <c r="A88" s="102">
        <v>84</v>
      </c>
      <c r="B88" s="101" t="inlineStr">
        <is>
          <t>DVD Addin</t>
        </is>
      </c>
      <c r="C88" s="101" t="inlineStr">
        <is>
          <t>Văn bản và Số</t>
        </is>
      </c>
      <c r="D88" s="101" t="inlineStr">
        <is>
          <t>HOA TOÀN BỘ</t>
        </is>
      </c>
      <c r="E88" s="103" t="inlineStr">
        <is>
          <t>HOA TOÀN BỘ</t>
        </is>
      </c>
      <c r="F88" s="101" t="inlineStr">
        <is>
          <t>Bôi đen vùng ô cần chuyển sang chữ hoa .</t>
        </is>
      </c>
      <c r="G88" s="103" t="str">
        <f>HYPERLINK("https://dvdaddin.dvdpm.net/vi/commands/reference/btnUPPERCASE","Mở hướng dẫn")</f>
        <v>Mở hướng dẫn</v>
      </c>
    </row>
    <row r="89">
      <c r="A89" s="102">
        <v>85</v>
      </c>
      <c r="B89" s="101" t="inlineStr">
        <is>
          <t>DVD Addin</t>
        </is>
      </c>
      <c r="C89" s="101" t="inlineStr">
        <is>
          <t>Văn bản và Số</t>
        </is>
      </c>
      <c r="D89" s="101" t="inlineStr">
        <is>
          <t>thường toàn bộ</t>
        </is>
      </c>
      <c r="E89" s="103" t="inlineStr">
        <is>
          <t>thường toàn bộ</t>
        </is>
      </c>
      <c r="F89" s="101" t="inlineStr">
        <is>
          <t>Bôi đen các ô cần hạ về chữ thường, ví dụ danh mục công tác nhận về gõ toàn chữ HOA hoặc hoa lẫn lộn .</t>
        </is>
      </c>
      <c r="G89" s="103" t="str">
        <f>HYPERLINK("https://dvdaddin.dvdpm.net/vi/commands/reference/btnlowercase","Mở hướng dẫn")</f>
        <v>Mở hướng dẫn</v>
      </c>
    </row>
    <row r="90">
      <c r="A90" s="102">
        <v>86</v>
      </c>
      <c r="B90" s="101" t="inlineStr">
        <is>
          <t>DVD Addin</t>
        </is>
      </c>
      <c r="C90" s="101" t="inlineStr">
        <is>
          <t>Văn bản và Số</t>
        </is>
      </c>
      <c r="D90" s="101" t="inlineStr">
        <is>
          <t>Hoa Đầu Mỗi Từ</t>
        </is>
      </c>
      <c r="E90" s="103" t="inlineStr">
        <is>
          <t>Hoa Đầu Mỗi Từ</t>
        </is>
      </c>
      <c r="F90" s="101" t="inlineStr">
        <is>
          <t>Bôi đen cột cần chuẩn hóa, ví dụ cột họ tên / đơn vị trong bảng nhân lực công trường nhập hoa thường lẫn lộn .</t>
        </is>
      </c>
      <c r="G90" s="103" t="str">
        <f>HYPERLINK("https://dvdaddin.dvdpm.net/vi/commands/reference/btnProperCase","Mở hướng dẫn")</f>
        <v>Mở hướng dẫn</v>
      </c>
    </row>
    <row r="91">
      <c r="A91" s="102">
        <v>87</v>
      </c>
      <c r="B91" s="101" t="inlineStr">
        <is>
          <t>DVD Addin</t>
        </is>
      </c>
      <c r="C91" s="101" t="inlineStr">
        <is>
          <t>Văn bản và Số</t>
        </is>
      </c>
      <c r="D91" s="101" t="inlineStr">
        <is>
          <t>Hoa theo ngữ cảnh (AI)</t>
        </is>
      </c>
      <c r="E91" s="103" t="inlineStr">
        <is>
          <t>Hoa theo ngữ cảnh (AI)</t>
        </is>
      </c>
      <c r="F91" s="101" t="inlineStr">
        <is>
          <t>Lệnh cần dịch vụ AI đã chọn và khoá API trong Tùy chọn. Bôi đen các ô văn bản gõ liền tay không phân biệt hoa thường .</t>
        </is>
      </c>
      <c r="G91" s="103" t="str">
        <f>HYPERLINK("https://dvdaddin.dvdpm.net/vi/commands/reference/btnSMARTCase","Mở hướng dẫn")</f>
        <v>Mở hướng dẫn</v>
      </c>
    </row>
    <row r="92">
      <c r="A92" s="102">
        <v>88</v>
      </c>
      <c r="B92" s="101" t="inlineStr">
        <is>
          <t>DVD Addin</t>
        </is>
      </c>
      <c r="C92" s="101" t="inlineStr">
        <is>
          <t>Văn bản và Số</t>
        </is>
      </c>
      <c r="D92" s="101" t="inlineStr">
        <is>
          <t>In nghiêng</t>
        </is>
      </c>
      <c r="E92" s="103" t="inlineStr">
        <is>
          <t>In nghiêng</t>
        </is>
      </c>
      <c r="F92" s="101" t="inlineStr">
        <is>
          <t>Bôi đen các ô song ngữ, mỗi ô hai dòng ngăn bằng Alt+Enter: dòng trên tiếng Việt, dòng dưới tiếng Anh .</t>
        </is>
      </c>
      <c r="G92" s="103" t="str">
        <f>HYPERLINK("https://dvdaddin.dvdpm.net/vi/commands/reference/btnRegularItalic","Mở hướng dẫn")</f>
        <v>Mở hướng dẫn</v>
      </c>
    </row>
    <row r="93">
      <c r="A93" s="102">
        <v>89</v>
      </c>
      <c r="B93" s="101" t="inlineStr">
        <is>
          <t>DVD Addin</t>
        </is>
      </c>
      <c r="C93" s="101" t="inlineStr">
        <is>
          <t>Văn bản và Số</t>
        </is>
      </c>
      <c r="D93" s="101" t="inlineStr">
        <is>
          <t>Đảo ngược</t>
        </is>
      </c>
      <c r="E93" s="103" t="inlineStr">
        <is>
          <t>Đảo ngược</t>
        </is>
      </c>
      <c r="F93" s="101" t="inlineStr">
        <is>
          <t>Bôi đen các ô cần đảo, ví dụ danh mục ghi theo kiểu "Tên công tác - Mã hiệu" mà bạn muốn đưa mã hiệu định mức lên trước .</t>
        </is>
      </c>
      <c r="G93" s="103" t="str">
        <f>HYPERLINK("https://dvdaddin.dvdpm.net/vi/commands/reference/btnTextReverse","Mở hướng dẫn")</f>
        <v>Mở hướng dẫn</v>
      </c>
    </row>
    <row r="94">
      <c r="A94" s="102">
        <v>90</v>
      </c>
      <c r="B94" s="101" t="inlineStr">
        <is>
          <t>DVD Addin</t>
        </is>
      </c>
      <c r="C94" s="101" t="inlineStr">
        <is>
          <t>Văn bản và Số</t>
        </is>
      </c>
      <c r="D94" s="101" t="inlineStr">
        <is>
          <t>Đổi Font</t>
        </is>
      </c>
      <c r="E94" s="103" t="inlineStr">
        <is>
          <t>Đổi Font</t>
        </is>
      </c>
      <c r="F94" s="101" t="inlineStr">
        <is>
          <t>Bôi đen các ô song ngữ cần đổi font từng phần, ví dụ hàng tiêu đề viết kiểu Tiếng Việt / English .</t>
        </is>
      </c>
      <c r="G94" s="103" t="str">
        <f>HYPERLINK("https://dvdaddin.dvdpm.net/vi/commands/reference/btnRegularFontChange","Mở hướng dẫn")</f>
        <v>Mở hướng dẫn</v>
      </c>
    </row>
    <row r="95">
      <c r="A95" s="102">
        <v>91</v>
      </c>
      <c r="B95" s="101" t="inlineStr">
        <is>
          <t>DVD Addin</t>
        </is>
      </c>
      <c r="C95" s="101" t="inlineStr">
        <is>
          <t>Văn bản và Số</t>
        </is>
      </c>
      <c r="D95" s="101" t="inlineStr">
        <is>
          <t>Xoá space thừa</t>
        </is>
      </c>
      <c r="E95" s="103" t="inlineStr">
        <is>
          <t>Xoá space thừa</t>
        </is>
      </c>
      <c r="F95" s="101" t="inlineStr">
        <is>
          <t>Bôi đen vùng văn bản cần dọn, ví dụ cột tên công tác dán từ bảng dự toán bị dư dấu cách ở đầu, cuối và giữa chữ . Cột =LEN(B2) cho thấy khoảng trắng thừa mà mắt không thấy.</t>
        </is>
      </c>
      <c r="G95" s="103" t="str">
        <f>HYPERLINK("https://dvdaddin.dvdpm.net/vi/commands/reference/btnRemoveSpaces","Mở hướng dẫn")</f>
        <v>Mở hướng dẫn</v>
      </c>
    </row>
    <row r="96">
      <c r="A96" s="102">
        <v>92</v>
      </c>
      <c r="B96" s="101" t="inlineStr">
        <is>
          <t>DVD Addin</t>
        </is>
      </c>
      <c r="C96" s="101" t="inlineStr">
        <is>
          <t>Văn bản và Số</t>
        </is>
      </c>
      <c r="D96" s="101" t="inlineStr">
        <is>
          <t>Chèn text</t>
        </is>
      </c>
      <c r="E96" s="103" t="inlineStr">
        <is>
          <t>Chèn text</t>
        </is>
      </c>
      <c r="F96" s="101" t="inlineStr">
        <is>
          <t>Bôi đen các ô cần thêm chữ, ví dụ danh mục công tác của hạng mục móng M1 cần gắn tiền tố mã hạng mục .</t>
        </is>
      </c>
      <c r="G96" s="103" t="str">
        <f>HYPERLINK("https://dvdaddin.dvdpm.net/vi/commands/reference/btnAddText","Mở hướng dẫn")</f>
        <v>Mở hướng dẫn</v>
      </c>
    </row>
    <row r="97">
      <c r="A97" s="102">
        <v>93</v>
      </c>
      <c r="B97" s="101" t="inlineStr">
        <is>
          <t>DVD Addin</t>
        </is>
      </c>
      <c r="C97" s="101" t="inlineStr">
        <is>
          <t>Văn bản và Số</t>
        </is>
      </c>
      <c r="D97" s="101" t="inlineStr">
        <is>
          <t>Xoá dấu</t>
        </is>
      </c>
      <c r="E97" s="103" t="inlineStr">
        <is>
          <t>Xoá dấu</t>
        </is>
      </c>
      <c r="F97" s="101" t="inlineStr">
        <is>
          <t>Bôi đen các ô văn bản có dấu cần bỏ dấu, ví dụ tên hạng mục dùng để đặt tên thư mục hồ sơ nghiệm thu .</t>
        </is>
      </c>
      <c r="G97" s="103" t="str">
        <f>HYPERLINK("https://dvdaddin.dvdpm.net/vi/commands/reference/btnRemoveAccents","Mở hướng dẫn")</f>
        <v>Mở hướng dẫn</v>
      </c>
    </row>
    <row r="98">
      <c r="A98" s="102">
        <v>94</v>
      </c>
      <c r="B98" s="101" t="inlineStr">
        <is>
          <t>DVD Addin</t>
        </is>
      </c>
      <c r="C98" s="101" t="inlineStr">
        <is>
          <t>Văn bản và Số</t>
        </is>
      </c>
      <c r="D98" s="101" t="inlineStr">
        <is>
          <t>Thêm dấu (AI)</t>
        </is>
      </c>
      <c r="E98" s="103" t="inlineStr">
        <is>
          <t>Thêm dấu (AI)</t>
        </is>
      </c>
      <c r="F98" s="101" t="inlineStr">
        <is>
          <t>Lệnh cần dịch vụ AI và khoá API đã cấu hình trong Tùy chọn. Bôi đen cột văn bản gõ không dấu, ví dụ nhật ký thi công gõ vội trên điện thoại ; ô đã có dấu trong vùng chọn sẽ được bỏ qua.</t>
        </is>
      </c>
      <c r="G98" s="103" t="str">
        <f>HYPERLINK("https://dvdaddin.dvdpm.net/vi/commands/reference/btnAddAccents","Mở hướng dẫn")</f>
        <v>Mở hướng dẫn</v>
      </c>
    </row>
    <row r="99">
      <c r="A99" s="102">
        <v>95</v>
      </c>
      <c r="B99" s="101" t="inlineStr">
        <is>
          <t>DVD Addin</t>
        </is>
      </c>
      <c r="C99" s="101" t="inlineStr">
        <is>
          <t>Văn bản và Số</t>
        </is>
      </c>
      <c r="D99" s="101" t="inlineStr">
        <is>
          <t>Auto format số/ngày</t>
        </is>
      </c>
      <c r="E99" s="103" t="inlineStr">
        <is>
          <t>Auto format số-ngày</t>
        </is>
      </c>
      <c r="F99" s="101" t="inlineStr">
        <is>
          <t>Bôi đen cột khối lượng và cột ngày đang lưu dạng chữ (căn trái) — vì vậy hàng Cộng dùng SUM ra 0 .</t>
        </is>
      </c>
      <c r="G99" s="103" t="str">
        <f>HYPERLINK("https://dvdaddin.dvdpm.net/vi/commands/reference/btnFormatAuto","Mở hướng dẫn")</f>
        <v>Mở hướng dẫn</v>
      </c>
    </row>
    <row r="100">
      <c r="A100" s="102">
        <v>96</v>
      </c>
      <c r="B100" s="101" t="inlineStr">
        <is>
          <t>DVD Addin</t>
        </is>
      </c>
      <c r="C100" s="101" t="inlineStr">
        <is>
          <t>Văn bản và Số</t>
        </is>
      </c>
      <c r="D100" s="101" t="inlineStr">
        <is>
          <t>Superscript m²</t>
        </is>
      </c>
      <c r="E100" s="103" t="inlineStr">
        <is>
          <t>Superscript m²</t>
        </is>
      </c>
      <c r="F100" s="101" t="inlineStr">
        <is>
          <t>Bôi đen cột đơn vị của bảng khối lượng (hoặc cả vùng có chứa đơn vị đo) .</t>
        </is>
      </c>
      <c r="G100" s="103" t="str">
        <f>HYPERLINK("https://dvdaddin.dvdpm.net/vi/commands/reference/btnSuperscript","Mở hướng dẫn")</f>
        <v>Mở hướng dẫn</v>
      </c>
    </row>
    <row r="101">
      <c r="A101" s="102">
        <v>97</v>
      </c>
      <c r="B101" s="101" t="inlineStr">
        <is>
          <t>DVD Addin</t>
        </is>
      </c>
      <c r="C101" s="101" t="inlineStr">
        <is>
          <t>Văn bản và Số</t>
        </is>
      </c>
      <c r="D101" s="101" t="inlineStr">
        <is>
          <t>Subscript H₂O</t>
        </is>
      </c>
      <c r="E101" s="103" t="inlineStr">
        <is>
          <t>Subscript H₂O</t>
        </is>
      </c>
      <c r="F101" s="101" t="inlineStr">
        <is>
          <t>Bôi đen các ô có công thức hoá học, ví dụ bảng thành phần và chỉ tiêu nước trộn bê tông — ô có câu văn xen ký hiệu hoá học cũng được.</t>
        </is>
      </c>
      <c r="G101" s="103" t="str">
        <f>HYPERLINK("https://dvdaddin.dvdpm.net/vi/commands/reference/btnSubscript","Mở hướng dẫn")</f>
        <v>Mở hướng dẫn</v>
      </c>
    </row>
    <row r="102">
      <c r="A102" s="102">
        <v>98</v>
      </c>
      <c r="B102" s="101" t="inlineStr">
        <is>
          <t>DVD Addin</t>
        </is>
      </c>
      <c r="C102" s="101" t="inlineStr">
        <is>
          <t>Văn bản và Số</t>
        </is>
      </c>
      <c r="D102" s="101" t="inlineStr">
        <is>
          <t>Tìm / Thay hàng loạt…</t>
        </is>
      </c>
      <c r="E102" s="103" t="inlineStr">
        <is>
          <t>Tìm - Thay hàng loạt…</t>
        </is>
      </c>
      <c r="F102" s="101" t="inlineStr">
        <is>
          <t>Mở sheet cần sửa. Ví dụ bảng dự toán dưới đây ghi tắt BTCT ở nhiều dòng , cần đổi thành "Bê tông cốt thép" trước khi in trình chủ đầu tư.</t>
        </is>
      </c>
      <c r="G102" s="103" t="str">
        <f>HYPERLINK("https://dvdaddin.dvdpm.net/vi/commands/reference/btnBulkFindReplace","Mở hướng dẫn")</f>
        <v>Mở hướng dẫn</v>
      </c>
    </row>
    <row r="103">
      <c r="A103" s="102">
        <v>99</v>
      </c>
      <c r="B103" s="101" t="inlineStr">
        <is>
          <t>DVD Addin</t>
        </is>
      </c>
      <c r="C103" s="101" t="inlineStr">
        <is>
          <t>Văn bản và Số</t>
        </is>
      </c>
      <c r="D103" s="101" t="inlineStr">
        <is>
          <t>Dọn dữ liệu thông minh…</t>
        </is>
      </c>
      <c r="E103" s="103" t="inlineStr">
        <is>
          <t>Dọn dữ liệu thông minh…</t>
        </is>
      </c>
      <c r="F103" s="101" t="inlineStr">
        <is>
          <t>Bôi đen cả bảng cần làm sạch, gồm dòng tiêu đề . Ví dụ danh sách vật tư gom từ nhiều file: khoảng trắng thừa, chữ hoa/thường lộn xộn và hai dòng bị nhập trùng.</t>
        </is>
      </c>
      <c r="G103" s="103" t="str">
        <f>HYPERLINK("https://dvdaddin.dvdpm.net/vi/commands/reference/btnDataCleaning","Mở hướng dẫn")</f>
        <v>Mở hướng dẫn</v>
      </c>
    </row>
    <row r="104">
      <c r="A104" s="102">
        <v>100</v>
      </c>
      <c r="B104" s="101" t="inlineStr">
        <is>
          <t>DVD Addin</t>
        </is>
      </c>
      <c r="C104" s="101" t="inlineStr">
        <is>
          <t>Văn bản và Số</t>
        </is>
      </c>
      <c r="D104" s="101" t="inlineStr">
        <is>
          <t>Chuyển mã</t>
        </is>
      </c>
      <c r="E104" s="103" t="inlineStr">
        <is>
          <t>Chuyển mã</t>
        </is>
      </c>
      <c r="F104" s="101" t="inlineStr">
        <is>
          <t>Bôi đen vùng cần chuyển mã . Bảng khối lượng cũ này được gõ bằng phông VNI-Times; mở trên máy không có phông ấy, chữ hiện thành chuỗi ký tự lạ.</t>
        </is>
      </c>
      <c r="G104" s="103" t="str">
        <f>HYPERLINK("https://dvdaddin.dvdpm.net/vi/commands/reference/btnConvert","Mở hướng dẫn")</f>
        <v>Mở hướng dẫn</v>
      </c>
    </row>
    <row r="105">
      <c r="A105" s="102">
        <v>101</v>
      </c>
      <c r="B105" s="101" t="inlineStr">
        <is>
          <t>DVD Addin</t>
        </is>
      </c>
      <c r="C105" s="101" t="inlineStr">
        <is>
          <t>Văn bản và Số</t>
        </is>
      </c>
      <c r="D105" s="101" t="inlineStr">
        <is>
          <t>Sang Unicode</t>
        </is>
      </c>
      <c r="E105" s="103" t="inlineStr">
        <is>
          <t>Sang Unicode</t>
        </is>
      </c>
      <c r="F105" s="101" t="inlineStr">
        <is>
          <t>Bôi đen vùng chữ lỗi phông . Bảng này được gõ bằng phông .VnTime (TCVN3); mở trên máy không có phông ấy nên chữ hiện thành ký tự lạ kiểu C«ng t¸c.</t>
        </is>
      </c>
      <c r="G105" s="103" t="str">
        <f>HYPERLINK("https://dvdaddin.dvdpm.net/vi/commands/reference/btnConvertUNI","Mở hướng dẫn")</f>
        <v>Mở hướng dẫn</v>
      </c>
    </row>
    <row r="106">
      <c r="A106" s="102">
        <v>102</v>
      </c>
      <c r="B106" s="101" t="inlineStr">
        <is>
          <t>DVD Addin</t>
        </is>
      </c>
      <c r="C106" s="101" t="inlineStr">
        <is>
          <t>Văn bản và Số</t>
        </is>
      </c>
      <c r="D106" s="101" t="inlineStr">
        <is>
          <t>Sang VNI</t>
        </is>
      </c>
      <c r="E106" s="103" t="inlineStr">
        <is>
          <t>Sang VNI</t>
        </is>
      </c>
      <c r="F106" s="101" t="inlineStr">
        <is>
          <t>Bôi đen cột diễn giải cần nộp theo mẫu dùng phông VNI-Times .</t>
        </is>
      </c>
      <c r="G106" s="103" t="str">
        <f>HYPERLINK("https://dvdaddin.dvdpm.net/vi/commands/reference/btnConvertVNI","Mở hướng dẫn")</f>
        <v>Mở hướng dẫn</v>
      </c>
    </row>
    <row r="107">
      <c r="A107" s="102">
        <v>103</v>
      </c>
      <c r="B107" s="101" t="inlineStr">
        <is>
          <t>DVD Addin</t>
        </is>
      </c>
      <c r="C107" s="101" t="inlineStr">
        <is>
          <t>Văn bản và Số</t>
        </is>
      </c>
      <c r="D107" s="101" t="inlineStr">
        <is>
          <t>Sang TCVN3</t>
        </is>
      </c>
      <c r="E107" s="103" t="inlineStr">
        <is>
          <t>Sang TCVN3</t>
        </is>
      </c>
      <c r="F107" s="101" t="inlineStr">
        <is>
          <t>Bôi đen cột nội dung công việc cần dán vào biểu mẫu cũ dùng phông .VnTime .</t>
        </is>
      </c>
      <c r="G107" s="103" t="str">
        <f>HYPERLINK("https://dvdaddin.dvdpm.net/vi/commands/reference/btnConvertTCVN3","Mở hướng dẫn")</f>
        <v>Mở hướng dẫn</v>
      </c>
    </row>
    <row r="108">
      <c r="A108" s="102">
        <v>104</v>
      </c>
      <c r="B108" s="101" t="inlineStr">
        <is>
          <t>DVD Addin</t>
        </is>
      </c>
      <c r="C108" s="101" t="inlineStr">
        <is>
          <t>Văn bản và Số</t>
        </is>
      </c>
      <c r="D108" s="101" t="inlineStr">
        <is>
          <t>Dịch ngôn ngữ</t>
        </is>
      </c>
      <c r="E108" s="103" t="inlineStr">
        <is>
          <t>Dịch ngôn ngữ</t>
        </is>
      </c>
      <c r="F108" s="101" t="inlineStr">
        <is>
          <t>Bôi đen các ô cần dịch — ví dụ cột mô tả trong bảng khối lượng tiếng Anh của tư vấn nước ngoài.</t>
        </is>
      </c>
      <c r="G108" s="103" t="str">
        <f>HYPERLINK("https://dvdaddin.dvdpm.net/vi/commands/reference/btnTranslate","Mở hướng dẫn")</f>
        <v>Mở hướng dẫn</v>
      </c>
    </row>
    <row r="109">
      <c r="A109" s="102">
        <v>105</v>
      </c>
      <c r="B109" s="101" t="inlineStr">
        <is>
          <t>DVD Addin</t>
        </is>
      </c>
      <c r="C109" s="101" t="inlineStr">
        <is>
          <t>Văn bản và Số</t>
        </is>
      </c>
      <c r="D109" s="101" t="inlineStr">
        <is>
          <t>Nhập nhanh</t>
        </is>
      </c>
      <c r="E109" s="103" t="inlineStr">
        <is>
          <t>Nhập nhanh</t>
        </is>
      </c>
      <c r="F109" s="101" t="inlineStr">
        <is>
          <t>Đặt con trỏ vào ô cần nhập, nằm dưới một cột đã có dữ liệu — ví dụ ô Hạng mục của dòng nhật ký mới.</t>
        </is>
      </c>
      <c r="G109" s="103" t="str">
        <f>HYPERLINK("https://dvdaddin.dvdpm.net/vi/commands/reference/btnQuickInput","Mở hướng dẫn")</f>
        <v>Mở hướng dẫn</v>
      </c>
    </row>
    <row r="110">
      <c r="A110" s="102">
        <v>106</v>
      </c>
      <c r="B110" s="101" t="inlineStr">
        <is>
          <t>DVD Addin</t>
        </is>
      </c>
      <c r="C110" s="101" t="inlineStr">
        <is>
          <t>Văn bản và Số</t>
        </is>
      </c>
      <c r="D110" s="101" t="inlineStr">
        <is>
          <t>Tự động hiện gợi ý</t>
        </is>
      </c>
      <c r="E110" s="103" t="inlineStr">
        <is>
          <t>Tự động hiện gợi ý</t>
        </is>
      </c>
      <c r="F110" s="101" t="inlineStr">
        <is>
          <t>Nút chuyển sang trạng thái bật, thanh trạng thái báo Quick Input: ON trong khoảng 5 giây . Từ giờ, chọn một ô trong cột kích hoạt của quy tắc đã khai báo ở Cài đặt nguồn dữ liệu… là cửa sổ gợi ý tự bật lên: gõ để lọc, Enter chèn, Esc bỏ qua.</t>
        </is>
      </c>
      <c r="G110" s="103" t="str">
        <f>HYPERLINK("https://dvdaddin.dvdpm.net/vi/commands/reference/ToggleAutoInput","Mở hướng dẫn")</f>
        <v>Mở hướng dẫn</v>
      </c>
    </row>
    <row r="111">
      <c r="A111" s="102">
        <v>107</v>
      </c>
      <c r="B111" s="101" t="inlineStr">
        <is>
          <t>DVD Addin</t>
        </is>
      </c>
      <c r="C111" s="101" t="inlineStr">
        <is>
          <t>Văn bản và Số</t>
        </is>
      </c>
      <c r="D111" s="101" t="inlineStr">
        <is>
          <t>Cài đặt nguồn dữ liệu…</t>
        </is>
      </c>
      <c r="E111" s="103" t="inlineStr">
        <is>
          <t>Cài đặt nguồn dữ liệu…</t>
        </is>
      </c>
      <c r="F111" s="101" t="inlineStr">
        <is>
          <t>Chuẩn bị bảng danh mục làm nguồn, có dòng tiêu đề — ở đây sheet DM_VatTu gồm Mã VT, Tên vật tư, ĐVT, Đơn giá.</t>
        </is>
      </c>
      <c r="G111" s="103" t="str">
        <f>HYPERLINK("https://dvdaddin.dvdpm.net/vi/commands/reference/btnQuickInputSources","Mở hướng dẫn")</f>
        <v>Mở hướng dẫn</v>
      </c>
    </row>
    <row r="112">
      <c r="A112" s="102">
        <v>108</v>
      </c>
      <c r="B112" s="101" t="inlineStr">
        <is>
          <t>DVD Addin</t>
        </is>
      </c>
      <c r="C112" s="101" t="inlineStr">
        <is>
          <t>Ô và Dòng</t>
        </is>
      </c>
      <c r="D112" s="101" t="inlineStr">
        <is>
          <t>Chèn dòng</t>
        </is>
      </c>
      <c r="E112" s="103" t="inlineStr">
        <is>
          <t>Chèn dòng</t>
        </is>
      </c>
      <c r="F112" s="101" t="inlineStr">
        <is>
          <t>Bấm vào một ô ở dòng muốn chèn — các dòng mới sẽ nằm phía trên dòng này. Ví dụ cần thêm 3 đầu việc trước dòng 6: chọn một ô ở dòng 6, như B6 .</t>
        </is>
      </c>
      <c r="G112" s="103" t="str">
        <f>HYPERLINK("https://dvdaddin.dvdpm.net/vi/commands/reference/btnInsertMultipleRows","Mở hướng dẫn")</f>
        <v>Mở hướng dẫn</v>
      </c>
    </row>
    <row r="113">
      <c r="A113" s="102">
        <v>109</v>
      </c>
      <c r="B113" s="101" t="inlineStr">
        <is>
          <t>DVD Addin</t>
        </is>
      </c>
      <c r="C113" s="101" t="inlineStr">
        <is>
          <t>Ô và Dòng</t>
        </is>
      </c>
      <c r="D113" s="101" t="inlineStr">
        <is>
          <t>Chèn cột</t>
        </is>
      </c>
      <c r="E113" s="103" t="inlineStr">
        <is>
          <t>Chèn cột</t>
        </is>
      </c>
      <c r="F113" s="101" t="inlineStr">
        <is>
          <t>Bấm vào một ô thuộc cột mà các cột mới sẽ nằm trước nó. Ví dụ cần thêm 4 cột theo dõi 4 đợt thanh toán trước cột KL hợp đồng: chọn ô D3 .</t>
        </is>
      </c>
      <c r="G113" s="103" t="str">
        <f>HYPERLINK("https://dvdaddin.dvdpm.net/vi/commands/reference/btnInsertMultipleColumns","Mở hướng dẫn")</f>
        <v>Mở hướng dẫn</v>
      </c>
    </row>
    <row r="114">
      <c r="A114" s="102">
        <v>110</v>
      </c>
      <c r="B114" s="101" t="inlineStr">
        <is>
          <t>DVD Addin</t>
        </is>
      </c>
      <c r="C114" s="101" t="inlineStr">
        <is>
          <t>Ô và Dòng</t>
        </is>
      </c>
      <c r="D114" s="101" t="inlineStr">
        <is>
          <t>Chèn và Sao chép</t>
        </is>
      </c>
      <c r="E114" s="103" t="inlineStr">
        <is>
          <t>Chèn và Sao chép</t>
        </is>
      </c>
      <c r="F114" s="101" t="inlineStr">
        <is>
          <t>Hộp chọn vùng thứ nhất hỏi Chọn vùng nguồn (có thể nhiều hàng): quét khối dòng mẫu, ở đây A8:D10 gồm Vật liệu / Nhân công / Máy thi công , rồi bấm OK.</t>
        </is>
      </c>
      <c r="G114" s="103" t="str">
        <f>HYPERLINK("https://dvdaddin.dvdpm.net/vi/commands/reference/btnInsertCopyBelow","Mở hướng dẫn")</f>
        <v>Mở hướng dẫn</v>
      </c>
    </row>
    <row r="115">
      <c r="A115" s="102">
        <v>111</v>
      </c>
      <c r="B115" s="101" t="inlineStr">
        <is>
          <t>DVD Addin</t>
        </is>
      </c>
      <c r="C115" s="101" t="inlineStr">
        <is>
          <t>Ô và Dòng</t>
        </is>
      </c>
      <c r="D115" s="101" t="inlineStr">
        <is>
          <t>Xoá dòng trống</t>
        </is>
      </c>
      <c r="E115" s="103" t="inlineStr">
        <is>
          <t>Xoá dòng trống</t>
        </is>
      </c>
      <c r="F115" s="101" t="inlineStr">
        <is>
          <t>Hộp chọn vùng hỏi Chọn vùng dữ liệu để xóa dòng trống: quét vùng bảng, ở đây A4:D12 , rồi bấm OK. Dòng nào trong vùng không còn ô nào có dữ liệu sẽ bị xoá.</t>
        </is>
      </c>
      <c r="G115" s="103" t="str">
        <f>HYPERLINK("https://dvdaddin.dvdpm.net/vi/commands/reference/btnDeleteBlankRows","Mở hướng dẫn")</f>
        <v>Mở hướng dẫn</v>
      </c>
    </row>
    <row r="116">
      <c r="A116" s="102">
        <v>112</v>
      </c>
      <c r="B116" s="101" t="inlineStr">
        <is>
          <t>DVD Addin</t>
        </is>
      </c>
      <c r="C116" s="101" t="inlineStr">
        <is>
          <t>Ô và Dòng</t>
        </is>
      </c>
      <c r="D116" s="101" t="inlineStr">
        <is>
          <t>Xoá dòng ẩn</t>
        </is>
      </c>
      <c r="E116" s="103" t="inlineStr">
        <is>
          <t>Xoá dòng ẩn</t>
        </is>
      </c>
      <c r="F116" s="101" t="inlineStr">
        <is>
          <t>Ẩn những dòng không muốn giữ — thường là lọc AutoFilter. Ví dụ lọc cột Hạng mục chỉ giữ Kết cấu thép: các dòng thuộc hạng mục khác bị ẩn. Nên làm trên bản sao của file gốc.</t>
        </is>
      </c>
      <c r="G116" s="103" t="str">
        <f>HYPERLINK("https://dvdaddin.dvdpm.net/vi/commands/reference/btnDeleteHiddenRows","Mở hướng dẫn")</f>
        <v>Mở hướng dẫn</v>
      </c>
    </row>
    <row r="117">
      <c r="A117" s="102">
        <v>113</v>
      </c>
      <c r="B117" s="101" t="inlineStr">
        <is>
          <t>DVD Addin</t>
        </is>
      </c>
      <c r="C117" s="101" t="inlineStr">
        <is>
          <t>Ô và Dòng</t>
        </is>
      </c>
      <c r="D117" s="101" t="inlineStr">
        <is>
          <t>Xoá format không dùng</t>
        </is>
      </c>
      <c r="E117" s="103" t="inlineStr">
        <is>
          <t>Xoá format không dùng</t>
        </is>
      </c>
      <c r="F117" s="101" t="inlineStr">
        <is>
          <t>Mở sheet cần dọn — lệnh chỉ xử lý sheet đang mở, không cần chọn vùng. Ví dụ dữ liệu thật dừng ở ô E8, nhưng khung viền và màu nền còn kéo dài ra ngoài nên Ctrl+End nhảy rất xa, file nặng và in thừa trang trắng.</t>
        </is>
      </c>
      <c r="G117" s="103" t="str">
        <f>HYPERLINK("https://dvdaddin.dvdpm.net/vi/commands/reference/btnDeleteUnusedFormats","Mở hướng dẫn")</f>
        <v>Mở hướng dẫn</v>
      </c>
    </row>
    <row r="118">
      <c r="A118" s="102">
        <v>114</v>
      </c>
      <c r="B118" s="101" t="inlineStr">
        <is>
          <t>DVD Addin</t>
        </is>
      </c>
      <c r="C118" s="101" t="inlineStr">
        <is>
          <t>Ô và Dòng</t>
        </is>
      </c>
      <c r="D118" s="101" t="inlineStr">
        <is>
          <t>Xoá Defined Names lỗi</t>
        </is>
      </c>
      <c r="E118" s="104" t="inlineStr">
        <is>
          <t>— (không cần dữ liệu mẫu)</t>
        </is>
      </c>
      <c r="F118" s="101" t="inlineStr">
        <is>
          <t/>
        </is>
      </c>
      <c r="G118" s="103" t="str">
        <f>HYPERLINK("https://dvdaddin.dvdpm.net/vi/commands/reference/btnDeleteErrorName","Mở hướng dẫn")</f>
        <v>Mở hướng dẫn</v>
      </c>
    </row>
    <row r="119">
      <c r="A119" s="102">
        <v>115</v>
      </c>
      <c r="B119" s="101" t="inlineStr">
        <is>
          <t>DVD Addin</t>
        </is>
      </c>
      <c r="C119" s="101" t="inlineStr">
        <is>
          <t>Ô và Dòng</t>
        </is>
      </c>
      <c r="D119" s="101" t="inlineStr">
        <is>
          <t>Xoá Cell Style ngoại lai</t>
        </is>
      </c>
      <c r="E119" s="104" t="inlineStr">
        <is>
          <t>— (không cần dữ liệu mẫu)</t>
        </is>
      </c>
      <c r="F119" s="101" t="inlineStr">
        <is>
          <t/>
        </is>
      </c>
      <c r="G119" s="103" t="str">
        <f>HYPERLINK("https://dvdaddin.dvdpm.net/vi/commands/reference/btnDeleteCellStyles","Mở hướng dẫn")</f>
        <v>Mở hướng dẫn</v>
      </c>
    </row>
    <row r="120">
      <c r="A120" s="102">
        <v>116</v>
      </c>
      <c r="B120" s="101" t="inlineStr">
        <is>
          <t>DVD Addin</t>
        </is>
      </c>
      <c r="C120" s="101" t="inlineStr">
        <is>
          <t>Ô và Dòng</t>
        </is>
      </c>
      <c r="D120" s="101" t="inlineStr">
        <is>
          <t>Gộp giữ data</t>
        </is>
      </c>
      <c r="E120" s="103" t="inlineStr">
        <is>
          <t>Gộp giữ data</t>
        </is>
      </c>
      <c r="F120" s="101" t="inlineStr">
        <is>
          <t>Chọn vùng ô cần gộp, ví dụ ba dòng diễn giải B4:B6 . Có thể Ctrl-chọn nhiều vùng rời — mỗi vùng được gộp riêng thành một ô.</t>
        </is>
      </c>
      <c r="G120" s="103" t="str">
        <f>HYPERLINK("https://dvdaddin.dvdpm.net/vi/commands/reference/btnMergeKeepData","Mở hướng dẫn")</f>
        <v>Mở hướng dẫn</v>
      </c>
    </row>
    <row r="121">
      <c r="A121" s="102">
        <v>117</v>
      </c>
      <c r="B121" s="101" t="inlineStr">
        <is>
          <t>DVD Addin</t>
        </is>
      </c>
      <c r="C121" s="101" t="inlineStr">
        <is>
          <t>Ô và Dòng</t>
        </is>
      </c>
      <c r="D121" s="101" t="inlineStr">
        <is>
          <t>Gộp ô giống nhau</t>
        </is>
      </c>
      <c r="E121" s="103" t="inlineStr">
        <is>
          <t>Gộp ô giống nhau</t>
        </is>
      </c>
      <c r="F121" s="101" t="inlineStr">
        <is>
          <t>Chọn vùng cần gộp — nên chọn đúng một cột, ví dụ cột cấu kiện A4:A9 . Vùng nhiều cột được duyệt theo hàng trước nên dễ gộp lẫn sang ô bên cạnh.</t>
        </is>
      </c>
      <c r="G121" s="103" t="str">
        <f>HYPERLINK("https://dvdaddin.dvdpm.net/vi/commands/reference/btnMergeSimilarCells","Mở hướng dẫn")</f>
        <v>Mở hướng dẫn</v>
      </c>
    </row>
    <row r="122">
      <c r="A122" s="102">
        <v>118</v>
      </c>
      <c r="B122" s="101" t="inlineStr">
        <is>
          <t>DVD Addin</t>
        </is>
      </c>
      <c r="C122" s="101" t="inlineStr">
        <is>
          <t>Ô và Dòng</t>
        </is>
      </c>
      <c r="D122" s="101" t="inlineStr">
        <is>
          <t>Gộp dòng theo key</t>
        </is>
      </c>
      <c r="E122" s="103" t="inlineStr">
        <is>
          <t>Gộp dòng theo key</t>
        </is>
      </c>
      <c r="F122" s="101" t="inlineStr">
        <is>
          <t>Hộp chọn vùng hỏi Vui lòng chọn 1 vùng: quét đúng khối dữ liệu, không kèm dòng tiêu đề, ví dụ A4:C9 , rồi bấm OK. Cột đầu tiên luôn là cột khoá; vùng phải có ít nhất 2 cột × 2 hàng.</t>
        </is>
      </c>
      <c r="G122" s="103" t="str">
        <f>HYPERLINK("https://dvdaddin.dvdpm.net/vi/commands/reference/btnMergeRows","Mở hướng dẫn")</f>
        <v>Mở hướng dẫn</v>
      </c>
    </row>
    <row r="123">
      <c r="A123" s="102">
        <v>119</v>
      </c>
      <c r="B123" s="101" t="inlineStr">
        <is>
          <t>DVD Addin</t>
        </is>
      </c>
      <c r="C123" s="101" t="inlineStr">
        <is>
          <t>Ô và Dòng</t>
        </is>
      </c>
      <c r="D123" s="101" t="inlineStr">
        <is>
          <t>Tự nhóm theo cấp</t>
        </is>
      </c>
      <c r="E123" s="103" t="inlineStr">
        <is>
          <t>Tự nhóm theo cấp</t>
        </is>
      </c>
      <c r="F123" s="101" t="inlineStr">
        <is>
          <t>Bảng cần có một cột số mục lục (1, 1.1, 1.1.1…) hoặc số cấp nguyên (1, 2, 3). Chọn sẵn cột đó, ví dụ A4:A13 , để cửa sổ tự điền vùng.</t>
        </is>
      </c>
      <c r="G123" s="103" t="str">
        <f>HYPERLINK("https://dvdaddin.dvdpm.net/vi/commands/reference/btnAutoGroup","Mở hướng dẫn")</f>
        <v>Mở hướng dẫn</v>
      </c>
    </row>
    <row r="124">
      <c r="A124" s="102">
        <v>120</v>
      </c>
      <c r="B124" s="101" t="inlineStr">
        <is>
          <t>DVD Addin</t>
        </is>
      </c>
      <c r="C124" s="101" t="inlineStr">
        <is>
          <t>Ô và Dòng</t>
        </is>
      </c>
      <c r="D124" s="101" t="inlineStr">
        <is>
          <t>AutoFit gộp ô</t>
        </is>
      </c>
      <c r="E124" s="103" t="inlineStr">
        <is>
          <t>AutoFit gộp ô</t>
        </is>
      </c>
      <c r="F124" s="101" t="inlineStr">
        <is>
          <t>Chọn vùng có các ô gộp cần canh chiều cao — chọn cả biểu mẫu cũng được, dòng thường lẫn dòng có ô gộp . Ở đây ô gộp B4:F4 và B8:F8 chỉ hiện được một dòng chữ, in ra sẽ mất phần còn lại.</t>
        </is>
      </c>
      <c r="G124" s="103" t="str">
        <f>HYPERLINK("https://dvdaddin.dvdpm.net/vi/commands/reference/btnAutoFitMerge","Mở hướng dẫn")</f>
        <v>Mở hướng dẫn</v>
      </c>
    </row>
    <row r="125">
      <c r="A125" s="102">
        <v>121</v>
      </c>
      <c r="B125" s="101" t="inlineStr">
        <is>
          <t>DVD Addin</t>
        </is>
      </c>
      <c r="C125" s="101" t="inlineStr">
        <is>
          <t>Ô và Dòng</t>
        </is>
      </c>
      <c r="D125" s="101" t="inlineStr">
        <is>
          <t>Chọn ô hiện</t>
        </is>
      </c>
      <c r="E125" s="103" t="inlineStr">
        <is>
          <t>Chọn ô hiện</t>
        </is>
      </c>
      <c r="F125" s="101" t="inlineStr">
        <is>
          <t>Lọc (AutoFilter) hoặc ẩn dòng như bình thường, rồi chọn vùng dữ liệu cần xử lý — ví dụ bảng khối lượng đang lọc hạng mục Phần thân (các dòng 4–5, 8, 11 đang ẩn), chọn A3:E11 .</t>
        </is>
      </c>
      <c r="G125" s="103" t="str">
        <f>HYPERLINK("https://dvdaddin.dvdpm.net/vi/commands/reference/btnSelectVisible","Mở hướng dẫn")</f>
        <v>Mở hướng dẫn</v>
      </c>
    </row>
    <row r="126">
      <c r="A126" s="102">
        <v>122</v>
      </c>
      <c r="B126" s="101" t="inlineStr">
        <is>
          <t>DVD Addin</t>
        </is>
      </c>
      <c r="C126" s="101" t="inlineStr">
        <is>
          <t>Ô và Dòng</t>
        </is>
      </c>
      <c r="D126" s="101" t="inlineStr">
        <is>
          <t>Copy/Paste hiện</t>
        </is>
      </c>
      <c r="E126" s="103" t="inlineStr">
        <is>
          <t>Copy-Paste hiện</t>
        </is>
      </c>
      <c r="F126" s="101" t="inlineStr">
        <is>
          <t>Lọc hoặc ẩn dòng ở sheet đích (và sheet nguồn nếu cần) cho đúng phần cần xử lý — ví dụ sheet Nghiệm thu lọc cột Tầng chỉ còn Tầng 5: các dòng Tầng 4 (4, 6, 8, 10) đang ẩn.</t>
        </is>
      </c>
      <c r="G126" s="103" t="str">
        <f>HYPERLINK("https://dvdaddin.dvdpm.net/vi/commands/reference/btnCopyPasteVisible","Mở hướng dẫn")</f>
        <v>Mở hướng dẫn</v>
      </c>
    </row>
    <row r="127">
      <c r="A127" s="102">
        <v>123</v>
      </c>
      <c r="B127" s="101" t="inlineStr">
        <is>
          <t>DVD Addin</t>
        </is>
      </c>
      <c r="C127" s="101" t="inlineStr">
        <is>
          <t>Ô và Dòng</t>
        </is>
      </c>
      <c r="D127" s="101" t="inlineStr">
        <is>
          <t>Nối chuỗi</t>
        </is>
      </c>
      <c r="E127" s="103" t="inlineStr">
        <is>
          <t>Nối chuỗi</t>
        </is>
      </c>
      <c r="F127" s="101" t="inlineStr">
        <is>
          <t>Chọn vùng ô chứa các giá trị cần nối, ví dụ mã các sheet biểu mẫu B2:B4 . Ô trống trong vùng được bỏ qua.</t>
        </is>
      </c>
      <c r="G127" s="103" t="str">
        <f>HYPERLINK("https://dvdaddin.dvdpm.net/vi/commands/reference/btnGetSheetPrint","Mở hướng dẫn")</f>
        <v>Mở hướng dẫn</v>
      </c>
    </row>
    <row r="128">
      <c r="A128" s="102">
        <v>124</v>
      </c>
      <c r="B128" s="101" t="inlineStr">
        <is>
          <t>DVD Addin</t>
        </is>
      </c>
      <c r="C128" s="101" t="inlineStr">
        <is>
          <t>Ô và Dòng</t>
        </is>
      </c>
      <c r="D128" s="101" t="inlineStr">
        <is>
          <t>Nối ô gộp</t>
        </is>
      </c>
      <c r="E128" s="103" t="inlineStr">
        <is>
          <t>Nối ô gộp</t>
        </is>
      </c>
      <c r="F128" s="101" t="inlineStr">
        <is>
          <t>Chọn vùng chứa các ô gộp cần lấy địa chỉ — ở đây hai ô sẽ thay khi in hàng loạt, Hạng mục và Vị trí: B4:D5 . Ô không có dữ liệu bị bỏ qua.</t>
        </is>
      </c>
      <c r="G128" s="103" t="str">
        <f>HYPERLINK("https://dvdaddin.dvdpm.net/vi/commands/reference/btnGetCellMerge","Mở hướng dẫn")</f>
        <v>Mở hướng dẫn</v>
      </c>
    </row>
    <row r="129">
      <c r="A129" s="102">
        <v>125</v>
      </c>
      <c r="B129" s="101" t="inlineStr">
        <is>
          <t>DVD Addin</t>
        </is>
      </c>
      <c r="C129" s="101" t="inlineStr">
        <is>
          <t>Công thức</t>
        </is>
      </c>
      <c r="D129" s="101" t="inlineStr">
        <is>
          <t>Xem công thức</t>
        </is>
      </c>
      <c r="E129" s="103" t="inlineStr">
        <is>
          <t>Xem công thức, KL Tang 4, KL Tang 5</t>
        </is>
      </c>
      <c r="F129" s="101" t="inlineStr">
        <is>
          <t>Chọn ô có công thức cần soát — ví dụ ô tổng hợp khối lượng ra 0 dù bảng chi tiết có số liệu. Công thức dài trên thanh công thức khó đọc bằng mắt.</t>
        </is>
      </c>
      <c r="G129" s="103" t="str">
        <f>HYPERLINK("https://dvdaddin.dvdpm.net/vi/commands/reference/btnFormulaViewer","Mở hướng dẫn")</f>
        <v>Mở hướng dẫn</v>
      </c>
    </row>
    <row r="130">
      <c r="A130" s="102">
        <v>126</v>
      </c>
      <c r="B130" s="101" t="inlineStr">
        <is>
          <t>DVD Addin</t>
        </is>
      </c>
      <c r="C130" s="101" t="inlineStr">
        <is>
          <t>Công thức</t>
        </is>
      </c>
      <c r="D130" s="101" t="inlineStr">
        <is>
          <t>Truy vết Lookup</t>
        </is>
      </c>
      <c r="E130" s="103" t="inlineStr">
        <is>
          <t>Truy vết Lookup, DON GIA</t>
        </is>
      </c>
      <c r="F130" s="101" t="inlineStr">
        <is>
          <t>Chọn một ô có công thức dò tìm — ví dụ ô đơn giá lấy bằng VLOOKUP từ sheet đơn giá. Công thức hiện trên thanh công thức .</t>
        </is>
      </c>
      <c r="G130" s="103" t="str">
        <f>HYPERLINK("https://dvdaddin.dvdpm.net/vi/commands/reference/btnGetLookup","Mở hướng dẫn")</f>
        <v>Mở hướng dẫn</v>
      </c>
    </row>
    <row r="131">
      <c r="A131" s="102">
        <v>127</v>
      </c>
      <c r="B131" s="101" t="inlineStr">
        <is>
          <t>DVD Addin</t>
        </is>
      </c>
      <c r="C131" s="101" t="inlineStr">
        <is>
          <t>Công thức</t>
        </is>
      </c>
      <c r="D131" s="101" t="inlineStr">
        <is>
          <t>Ô phụ thuộc</t>
        </is>
      </c>
      <c r="E131" s="103" t="inlineStr">
        <is>
          <t>Ô phụ thuộc</t>
        </is>
      </c>
      <c r="F131" s="101" t="inlineStr">
        <is>
          <t>Chọn ô cần kiểm tra — ví dụ ô hệ số ca máy trên sheet tham số. Lệnh luôn theo dõi ô hoạt động, không phải cả vùng chọn.</t>
        </is>
      </c>
      <c r="G131" s="103" t="str">
        <f>HYPERLINK("https://dvdaddin.dvdpm.net/vi/commands/reference/btnShowDependents","Mở hướng dẫn")</f>
        <v>Mở hướng dẫn</v>
      </c>
    </row>
    <row r="132">
      <c r="A132" s="102">
        <v>128</v>
      </c>
      <c r="B132" s="101" t="inlineStr">
        <is>
          <t>DVD Addin</t>
        </is>
      </c>
      <c r="C132" s="101" t="inlineStr">
        <is>
          <t>Công thức</t>
        </is>
      </c>
      <c r="D132" s="101" t="inlineStr">
        <is>
          <t>Tự động tổng</t>
        </is>
      </c>
      <c r="E132" s="103" t="inlineStr">
        <is>
          <t>Tự động tổng</t>
        </is>
      </c>
      <c r="F132" s="101" t="inlineStr">
        <is>
          <t>Chuẩn bị bảng có cột key — ở đây cột hạng mục chỉ ghi ở dòng tổng, các dòng chi tiết để trống — và cột số liệu cần cộng , hai cột cùng số dòng.</t>
        </is>
      </c>
      <c r="G132" s="103" t="str">
        <f>HYPERLINK("https://dvdaddin.dvdpm.net/vi/commands/reference/btnAutosum","Mở hướng dẫn")</f>
        <v>Mở hướng dẫn</v>
      </c>
    </row>
    <row r="133">
      <c r="A133" s="102">
        <v>129</v>
      </c>
      <c r="B133" s="101" t="inlineStr">
        <is>
          <t>DVD Addin</t>
        </is>
      </c>
      <c r="C133" s="101" t="inlineStr">
        <is>
          <t>Công thức</t>
        </is>
      </c>
      <c r="D133" s="101" t="inlineStr">
        <is>
          <t>Điền kết quả</t>
        </is>
      </c>
      <c r="E133" s="103" t="inlineStr">
        <is>
          <t>Điền kết quả</t>
        </is>
      </c>
      <c r="F133" s="101" t="inlineStr">
        <is>
          <t>Chuẩn bị bảng có cột diễn giải (chuỗi cách tính) và cột kết quả tương ứng theo từng hàng.</t>
        </is>
      </c>
      <c r="G133" s="103" t="str">
        <f>HYPERLINK("https://dvdaddin.dvdpm.net/vi/commands/reference/btnFillInResults","Mở hướng dẫn")</f>
        <v>Mở hướng dẫn</v>
      </c>
    </row>
    <row r="134">
      <c r="A134" s="102">
        <v>130</v>
      </c>
      <c r="B134" s="101" t="inlineStr">
        <is>
          <t>DVD Addin</t>
        </is>
      </c>
      <c r="C134" s="101" t="inlineStr">
        <is>
          <t>Công thức</t>
        </is>
      </c>
      <c r="D134" s="101" t="inlineStr">
        <is>
          <t>Tham chiếu</t>
        </is>
      </c>
      <c r="E134" s="103" t="inlineStr">
        <is>
          <t>Tham chiếu, DON GIA (2)</t>
        </is>
      </c>
      <c r="F134" s="101" t="inlineStr">
        <is>
          <t>Chuẩn bị vùng nguồn : cột đầu là mã hiệu (key), cột cuối là nơi nhận công thức đơn giá. Vùng đích là bảng đơn giá trên sheet DON GIA, cột A là mã hiệu, cột D là đơn giá.</t>
        </is>
      </c>
      <c r="G134" s="103" t="str">
        <f>HYPERLINK("https://dvdaddin.dvdpm.net/vi/commands/reference/btnAssignDirectReference","Mở hướng dẫn")</f>
        <v>Mở hướng dẫn</v>
      </c>
    </row>
    <row r="135">
      <c r="A135" s="102">
        <v>131</v>
      </c>
      <c r="B135" s="101" t="inlineStr">
        <is>
          <t>DVD Addin</t>
        </is>
      </c>
      <c r="C135" s="101" t="inlineStr">
        <is>
          <t>Công thức</t>
        </is>
      </c>
      <c r="D135" s="101" t="inlineStr">
        <is>
          <t>Hàm làm tròn</t>
        </is>
      </c>
      <c r="E135" s="103" t="inlineStr">
        <is>
          <t>Hàm làm tròn</t>
        </is>
      </c>
      <c r="F135" s="101" t="inlineStr">
        <is>
          <t>Bôi đen vùng ô chứa các công thức cần làm tròn — ở đây cột khối lượng đang ra nhiều chữ số lẻ.</t>
        </is>
      </c>
      <c r="G135" s="103" t="str">
        <f>HYPERLINK("https://dvdaddin.dvdpm.net/vi/commands/reference/btnRoundingFunctions","Mở hướng dẫn")</f>
        <v>Mở hướng dẫn</v>
      </c>
    </row>
    <row r="136">
      <c r="A136" s="102">
        <v>132</v>
      </c>
      <c r="B136" s="101" t="inlineStr">
        <is>
          <t>DVD Addin</t>
        </is>
      </c>
      <c r="C136" s="101" t="inlineStr">
        <is>
          <t>Công thức</t>
        </is>
      </c>
      <c r="D136" s="101" t="inlineStr">
        <is>
          <t>Khóa tham chiếu</t>
        </is>
      </c>
      <c r="E136" s="103" t="inlineStr">
        <is>
          <t>Khóa tham chiếu, BANGTHEP</t>
        </is>
      </c>
      <c r="F136" s="101" t="inlineStr">
        <is>
          <t>Bôi đen vùng ô có công thức cần đổi kiểu tham chiếu — ví dụ cột khối lượng thép trước khi chép cả khối công thức sang bảng tổng hợp mà không muốn tham chiếu bị trượt. Công thức hiện đang là tham chiếu tương đối .</t>
        </is>
      </c>
      <c r="G136" s="103" t="str">
        <f>HYPERLINK("https://dvdaddin.dvdpm.net/vi/commands/reference/btnLockCellReferences","Mở hướng dẫn")</f>
        <v>Mở hướng dẫn</v>
      </c>
    </row>
    <row r="137">
      <c r="A137" s="102">
        <v>133</v>
      </c>
      <c r="B137" s="101" t="inlineStr">
        <is>
          <t>DVD Addin</t>
        </is>
      </c>
      <c r="C137" s="101" t="inlineStr">
        <is>
          <t>Công thức</t>
        </is>
      </c>
      <c r="D137" s="101" t="inlineStr">
        <is>
          <t>Kiểm tra lỗi</t>
        </is>
      </c>
      <c r="E137" s="103" t="inlineStr">
        <is>
          <t>Kiểm tra lỗi</t>
        </is>
      </c>
      <c r="F137" s="101" t="inlineStr">
        <is>
          <t>Bôi đen vùng ô có công thức đang hiện tam giác xanh cảnh báo — ví dụ cột thành tiền có dòng tổng hạng mục dùng công thức khác các dòng xung quanh, Excel báo “công thức không nhất quán”.</t>
        </is>
      </c>
      <c r="G137" s="103" t="str">
        <f>HYPERLINK("https://dvdaddin.dvdpm.net/vi/commands/reference/btnFormulaErrorChecking","Mở hướng dẫn")</f>
        <v>Mở hướng dẫn</v>
      </c>
    </row>
    <row r="138">
      <c r="A138" s="102">
        <v>134</v>
      </c>
      <c r="B138" s="101" t="inlineStr">
        <is>
          <t>DVD Addin</t>
        </is>
      </c>
      <c r="C138" s="101" t="inlineStr">
        <is>
          <t>Đồ họa</t>
        </is>
      </c>
      <c r="D138" s="101" t="inlineStr">
        <is>
          <t>Tô màu Shape</t>
        </is>
      </c>
      <c r="E138" s="103" t="inlineStr">
        <is>
          <t>Tô màu Shape</t>
        </is>
      </c>
      <c r="F138" s="101" t="inlineStr">
        <is>
          <t>Trên sheet có mặt bằng vẽ bằng các Shape đã đặt tên (O_A1, O_A2…), lập bảng ánh xạ: cột thứ nhất = tên Shape, cột thứ hai = mã màu (số RGB kiểu Excel hoặc #RRGGBB) — ở đây mã màu do công thức tính theo cột trạng thái .</t>
        </is>
      </c>
      <c r="G138" s="103" t="str">
        <f>HYPERLINK("https://dvdaddin.dvdpm.net/vi/commands/reference/btnColorShapes","Mở hướng dẫn")</f>
        <v>Mở hướng dẫn</v>
      </c>
    </row>
    <row r="139">
      <c r="A139" s="102">
        <v>135</v>
      </c>
      <c r="B139" s="101" t="inlineStr">
        <is>
          <t>DVD Addin</t>
        </is>
      </c>
      <c r="C139" s="101" t="inlineStr">
        <is>
          <t>Đồ họa</t>
        </is>
      </c>
      <c r="D139" s="101" t="inlineStr">
        <is>
          <t>Vẽ hình chữ nhật màu</t>
        </is>
      </c>
      <c r="E139" s="103" t="inlineStr">
        <is>
          <t>Vẽ hình chữ nhật màu</t>
        </is>
      </c>
      <c r="F139" s="101" t="inlineStr">
        <is>
          <t>Chuẩn bị vùng ô mà giá trị là mã màu RGB dạng số — ở đây lưới phân khu × tuần, công thức đổi trạng thái thành mã màu (xám = chưa tới, vàng = tuần đổ, xanh = đã đổ) .</t>
        </is>
      </c>
      <c r="G139" s="103" t="str">
        <f>HYPERLINK("https://dvdaddin.dvdpm.net/vi/commands/reference/btnColorRectangles","Mở hướng dẫn")</f>
        <v>Mở hướng dẫn</v>
      </c>
    </row>
    <row r="140">
      <c r="A140" s="102">
        <v>136</v>
      </c>
      <c r="B140" s="101" t="inlineStr">
        <is>
          <t>DVD Addin</t>
        </is>
      </c>
      <c r="C140" s="101" t="inlineStr">
        <is>
          <t>Đồ họa</t>
        </is>
      </c>
      <c r="D140" s="101" t="inlineStr">
        <is>
          <t>Danh sách shape</t>
        </is>
      </c>
      <c r="E140" s="103" t="inlineStr">
        <is>
          <t>Danh sách shape</t>
        </is>
      </c>
      <c r="F140" s="101" t="inlineStr">
        <is>
          <t>Mở sheet chứa các Shape (ở đây: mặt bằng tầng 3 có khung tiêu đề và một nhóm 6 ô sàn) và chọn một ô trống làm điểm bắt đầu — danh sách chạy dọc xuống từ ô này.</t>
        </is>
      </c>
      <c r="G140" s="103" t="str">
        <f>HYPERLINK("https://dvdaddin.dvdpm.net/vi/commands/reference/btnListShapes","Mở hướng dẫn")</f>
        <v>Mở hướng dẫn</v>
      </c>
    </row>
    <row r="141">
      <c r="A141" s="102">
        <v>137</v>
      </c>
      <c r="B141" s="101" t="inlineStr">
        <is>
          <t>DVD Addin</t>
        </is>
      </c>
      <c r="C141" s="101" t="inlineStr">
        <is>
          <t>Đồ họa</t>
        </is>
      </c>
      <c r="D141" s="101" t="inlineStr">
        <is>
          <t>Đổi tên Shape</t>
        </is>
      </c>
      <c r="E141" s="103" t="inlineStr">
        <is>
          <t>Đổi tên Shape</t>
        </is>
      </c>
      <c r="F141" s="101" t="inlineStr">
        <is>
          <t>Trên sheet chứa các Shape, lập bảng hai cột: cột trái = tên cũ, cột phải = tên mới . Cột tên cũ lấy nhanh bằng lệnh Danh sách shape.</t>
        </is>
      </c>
      <c r="G141" s="103" t="str">
        <f>HYPERLINK("https://dvdaddin.dvdpm.net/vi/commands/reference/btnRenameShapes","Mở hướng dẫn")</f>
        <v>Mở hướng dẫn</v>
      </c>
    </row>
    <row r="142">
      <c r="A142" s="102">
        <v>138</v>
      </c>
      <c r="B142" s="101" t="inlineStr">
        <is>
          <t>DVD Addin</t>
        </is>
      </c>
      <c r="C142" s="101" t="inlineStr">
        <is>
          <t>Đồ họa</t>
        </is>
      </c>
      <c r="D142" s="101" t="inlineStr">
        <is>
          <t>Đánh số Shape</t>
        </is>
      </c>
      <c r="E142" s="104" t="inlineStr">
        <is>
          <t>— (không cần dữ liệu mẫu)</t>
        </is>
      </c>
      <c r="F142" s="101" t="inlineStr">
        <is>
          <t/>
        </is>
      </c>
      <c r="G142" s="103" t="str">
        <f>HYPERLINK("https://dvdaddin.dvdpm.net/vi/commands/reference/btnNumberShapes","Mở hướng dẫn")</f>
        <v>Mở hướng dẫn</v>
      </c>
    </row>
    <row r="143">
      <c r="A143" s="102">
        <v>139</v>
      </c>
      <c r="B143" s="101" t="inlineStr">
        <is>
          <t>DVD Addin</t>
        </is>
      </c>
      <c r="C143" s="101" t="inlineStr">
        <is>
          <t>Đồ họa</t>
        </is>
      </c>
      <c r="D143" s="101" t="inlineStr">
        <is>
          <t>Lấy vị trí</t>
        </is>
      </c>
      <c r="E143" s="103" t="inlineStr">
        <is>
          <t>Lấy vị trí</t>
        </is>
      </c>
      <c r="F143" s="101" t="inlineStr">
        <is>
          <t>Gõ hoặc dán tên các Shape cần lấy toạ độ vào một cột rồi chọn vùng chứa các tên đó .</t>
        </is>
      </c>
      <c r="G143" s="103" t="str">
        <f>HYPERLINK("https://dvdaddin.dvdpm.net/vi/commands/reference/btnShapePositions","Mở hướng dẫn")</f>
        <v>Mở hướng dẫn</v>
      </c>
    </row>
    <row r="144">
      <c r="A144" s="102">
        <v>140</v>
      </c>
      <c r="B144" s="101" t="inlineStr">
        <is>
          <t>DVD Addin</t>
        </is>
      </c>
      <c r="C144" s="101" t="inlineStr">
        <is>
          <t>Đồ họa</t>
        </is>
      </c>
      <c r="D144" s="101" t="inlineStr">
        <is>
          <t>Gắn nhãn liên kết</t>
        </is>
      </c>
      <c r="E144" s="103" t="inlineStr">
        <is>
          <t>Gắn nhãn liên kết</t>
        </is>
      </c>
      <c r="F144" s="101" t="inlineStr">
        <is>
          <t>Các móng trên bản vẽ là Shape tên 1, 2, 3… (đặt nhanh bằng Đánh số Shape). Bên cạnh là bảng theo dõi: quét chọn vùng có cột đầu = tên Shape và cột cuối = ô cần gắn (ở đây ngày đổ bê tông) — cột ở giữa được bỏ qua .</t>
        </is>
      </c>
      <c r="G144" s="103" t="str">
        <f>HYPERLINK("https://dvdaddin.dvdpm.net/vi/commands/reference/btnLinkedLabels","Mở hướng dẫn")</f>
        <v>Mở hướng dẫn</v>
      </c>
    </row>
    <row r="145">
      <c r="A145" s="102">
        <v>141</v>
      </c>
      <c r="B145" s="101" t="inlineStr">
        <is>
          <t>DVD Addin</t>
        </is>
      </c>
      <c r="C145" s="101" t="inlineStr">
        <is>
          <t>Đồ họa</t>
        </is>
      </c>
      <c r="D145" s="101" t="inlineStr">
        <is>
          <t>Chuyển nhãn sang Tĩnh</t>
        </is>
      </c>
      <c r="E145" s="104" t="inlineStr">
        <is>
          <t>— (không cần dữ liệu mẫu)</t>
        </is>
      </c>
      <c r="F145" s="101" t="inlineStr">
        <is>
          <t/>
        </is>
      </c>
      <c r="G145" s="103" t="str">
        <f>HYPERLINK("https://dvdaddin.dvdpm.net/vi/commands/reference/btnStaticLabels","Mở hướng dẫn")</f>
        <v>Mở hướng dẫn</v>
      </c>
    </row>
    <row r="146">
      <c r="A146" s="102">
        <v>142</v>
      </c>
      <c r="B146" s="101" t="inlineStr">
        <is>
          <t>DVD Addin</t>
        </is>
      </c>
      <c r="C146" s="101" t="inlineStr">
        <is>
          <t>Đồ họa</t>
        </is>
      </c>
      <c r="D146" s="101" t="inlineStr">
        <is>
          <t>Tạo shape móng từ DWG</t>
        </is>
      </c>
      <c r="E146" s="104" t="inlineStr">
        <is>
          <t>— (không cần dữ liệu mẫu)</t>
        </is>
      </c>
      <c r="F146" s="101" t="inlineStr">
        <is>
          <t/>
        </is>
      </c>
      <c r="G146" s="103" t="str">
        <f>HYPERLINK("https://dvdaddin.dvdpm.net/vi/commands/reference/btnFootingsFromDwg","Mở hướng dẫn")</f>
        <v>Mở hướng dẫn</v>
      </c>
    </row>
    <row r="147">
      <c r="A147" s="102">
        <v>143</v>
      </c>
      <c r="B147" s="101" t="inlineStr">
        <is>
          <t>DVD Addin</t>
        </is>
      </c>
      <c r="C147" s="101" t="inlineStr">
        <is>
          <t>Đồ họa</t>
        </is>
      </c>
      <c r="D147" s="101" t="inlineStr">
        <is>
          <t>Tạo shape cọc từ DWG</t>
        </is>
      </c>
      <c r="E147" s="104" t="inlineStr">
        <is>
          <t>— (không cần dữ liệu mẫu)</t>
        </is>
      </c>
      <c r="F147" s="101" t="inlineStr">
        <is>
          <t/>
        </is>
      </c>
      <c r="G147" s="103" t="str">
        <f>HYPERLINK("https://dvdaddin.dvdpm.net/vi/commands/reference/btnPilesFromDwg","Mở hướng dẫn")</f>
        <v>Mở hướng dẫn</v>
      </c>
    </row>
    <row r="148">
      <c r="A148" s="102">
        <v>144</v>
      </c>
      <c r="B148" s="101" t="inlineStr">
        <is>
          <t>DVD Addin</t>
        </is>
      </c>
      <c r="C148" s="101" t="inlineStr">
        <is>
          <t>Đồ họa</t>
        </is>
      </c>
      <c r="D148" s="101" t="inlineStr">
        <is>
          <t>Tạo shape cột vách từ DWG</t>
        </is>
      </c>
      <c r="E148" s="104" t="inlineStr">
        <is>
          <t>— (không cần dữ liệu mẫu)</t>
        </is>
      </c>
      <c r="F148" s="101" t="inlineStr">
        <is>
          <t/>
        </is>
      </c>
      <c r="G148" s="103" t="str">
        <f>HYPERLINK("https://dvdaddin.dvdpm.net/vi/commands/reference/btnColumnsWallsFromDwg","Mở hướng dẫn")</f>
        <v>Mở hướng dẫn</v>
      </c>
    </row>
    <row r="149">
      <c r="A149" s="102">
        <v>145</v>
      </c>
      <c r="B149" s="101" t="inlineStr">
        <is>
          <t>DVD Addin</t>
        </is>
      </c>
      <c r="C149" s="101" t="inlineStr">
        <is>
          <t>Đồ họa</t>
        </is>
      </c>
      <c r="D149" s="101" t="inlineStr">
        <is>
          <t>Tiến độ mặt bằng</t>
        </is>
      </c>
      <c r="E149" s="103" t="inlineStr">
        <is>
          <t>Tiến độ mặt bằng</t>
        </is>
      </c>
      <c r="F149" s="101" t="inlineStr">
        <is>
          <t>Add-in tạo sheet TĐ MB cọc ngay sau mặt bằng: bảng STT | Tên shape | Trạng thái | Ngày | Ghi chú với tên xếp tự nhiên. Chọn trạng thái từng dòng từ danh sách thả xuống , điền ngày nếu cần. Bảng chú giải bên phải : màu là màu nền ô cột Màu (đổi bằng Home ▸ Fill), Số lượng và Tỉ lệ tự đếm.</t>
        </is>
      </c>
      <c r="G149" s="103" t="str">
        <f>HYPERLINK("https://dvdaddin.dvdpm.net/vi/commands/reference/btnPlanProgress","Mở hướng dẫn")</f>
        <v>Mở hướng dẫn</v>
      </c>
    </row>
    <row r="150">
      <c r="A150" s="102">
        <v>146</v>
      </c>
      <c r="B150" s="101" t="inlineStr">
        <is>
          <t>DVD Addin</t>
        </is>
      </c>
      <c r="C150" s="101" t="inlineStr">
        <is>
          <t>Đồ họa</t>
        </is>
      </c>
      <c r="D150" s="101" t="inlineStr">
        <is>
          <t>Lấy mã màu</t>
        </is>
      </c>
      <c r="E150" s="103" t="inlineStr">
        <is>
          <t>Lấy mã màu</t>
        </is>
      </c>
      <c r="F150" s="101" t="inlineStr">
        <is>
          <t>Lệnh ghi mã màu đè lên chính các ô được chọn, nên hãy chép các ô màu cần lấy mã sang một cột trống trước — ví dụ chép cột Màu chuẩn sang cột D .</t>
        </is>
      </c>
      <c r="G150" s="103" t="str">
        <f>HYPERLINK("https://dvdaddin.dvdpm.net/vi/commands/reference/btnGetCellColorCode","Mở hướng dẫn")</f>
        <v>Mở hướng dẫn</v>
      </c>
    </row>
    <row r="151">
      <c r="A151" s="102">
        <v>147</v>
      </c>
      <c r="B151" s="101" t="inlineStr">
        <is>
          <t>DVD Addin</t>
        </is>
      </c>
      <c r="C151" s="101" t="inlineStr">
        <is>
          <t>Đồ họa</t>
        </is>
      </c>
      <c r="D151" s="101" t="inlineStr">
        <is>
          <t>Auto Click</t>
        </is>
      </c>
      <c r="E151" s="103" t="inlineStr">
        <is>
          <t>Auto Click</t>
        </is>
      </c>
      <c r="F151" s="101" t="inlineStr">
        <is>
          <t>Mỗi cú click thành một dòng trên sheet riêng AutoClick (chưa có thì lệnh tự tạo). Sửa trực tiếp X / Y hoặc Wait (ms) — thời gian chờ trước cú click của dòng đó — nếu cần tinh chỉnh .</t>
        </is>
      </c>
      <c r="G151" s="103" t="str">
        <f>HYPERLINK("https://dvdaddin.dvdpm.net/vi/commands/reference/btnAutoClick","Mở hướng dẫn")</f>
        <v>Mở hướng dẫn</v>
      </c>
    </row>
    <row r="152">
      <c r="A152" s="102">
        <v>148</v>
      </c>
      <c r="B152" s="101" t="inlineStr">
        <is>
          <t>DVD Addin</t>
        </is>
      </c>
      <c r="C152" s="101" t="inlineStr">
        <is>
          <t>Đồ họa</t>
        </is>
      </c>
      <c r="D152" s="101" t="inlineStr">
        <is>
          <t>Chèn ảnh</t>
        </is>
      </c>
      <c r="E152" s="103" t="inlineStr">
        <is>
          <t>Chèn ảnh</t>
        </is>
      </c>
      <c r="F152" s="101" t="inlineStr">
        <is>
          <t>Hộp Chọn vùng để chèn ảnh hiện ra: quét các ô ảnh C4:C15 — mỗi vùng gộp tính là một chỗ chèn — rồi bấm OK. Ở hộp kế tiếp Nhập độ rộng khoảng trống giữa hình và viền ô (2-5 khuyến nghị) giữ 2 (point) và bấm OK.</t>
        </is>
      </c>
      <c r="G152" s="103" t="str">
        <f>HYPERLINK("https://dvdaddin.dvdpm.net/vi/commands/reference/btnInsertPictures","Mở hướng dẫn")</f>
        <v>Mở hướng dẫn</v>
      </c>
    </row>
    <row r="153">
      <c r="A153" s="102">
        <v>149</v>
      </c>
      <c r="B153" s="101" t="inlineStr">
        <is>
          <t>DVD Addin</t>
        </is>
      </c>
      <c r="C153" s="101" t="inlineStr">
        <is>
          <t>Đồ họa</t>
        </is>
      </c>
      <c r="D153" s="101" t="inlineStr">
        <is>
          <t>Chèn theo tên</t>
        </is>
      </c>
      <c r="E153" s="103" t="inlineStr">
        <is>
          <t>Chèn theo tên</t>
        </is>
      </c>
      <c r="F153" s="101" t="inlineStr">
        <is>
          <t>Hộp Chọn các ô chứa tên ảnh: quét cột mã B4:B7 , bấm OK. Hộp Chọn các ô để xuất ảnh: quét C4:C7 — hoặc chỉ ô đầu C4, lệnh tự đi xuống mỗi lần một vùng gộp — bấm OK. Hộp Padding 2-5 giữ 2, bấm OK.</t>
        </is>
      </c>
      <c r="G153" s="103" t="str">
        <f>HYPERLINK("https://dvdaddin.dvdpm.net/vi/commands/reference/btnInsertPictureByName","Mở hướng dẫn")</f>
        <v>Mở hướng dẫn</v>
      </c>
    </row>
    <row r="154">
      <c r="A154" s="102">
        <v>150</v>
      </c>
      <c r="B154" s="101" t="inlineStr">
        <is>
          <t>DVD Addin</t>
        </is>
      </c>
      <c r="C154" s="101" t="inlineStr">
        <is>
          <t>Đồ họa</t>
        </is>
      </c>
      <c r="D154" s="101" t="inlineStr">
        <is>
          <t>Comment ảnh</t>
        </is>
      </c>
      <c r="E154" s="103" t="inlineStr">
        <is>
          <t>Comment ảnh</t>
        </is>
      </c>
      <c r="F154" s="101" t="inlineStr">
        <is>
          <t>Nhấp vào ô cần gắn ảnh, ví dụ ô ghi chú F4 của ô sàn trục A-B . Lệnh chỉ dùng ô đang hoạt động, kể cả khi bạn bôi đen cả vùng.</t>
        </is>
      </c>
      <c r="G154" s="103" t="str">
        <f>HYPERLINK("https://dvdaddin.dvdpm.net/vi/commands/reference/btnPictureComment","Mở hướng dẫn")</f>
        <v>Mở hướng dẫn</v>
      </c>
    </row>
    <row r="155">
      <c r="A155" s="102">
        <v>151</v>
      </c>
      <c r="B155" s="101" t="inlineStr">
        <is>
          <t>DVD Addin</t>
        </is>
      </c>
      <c r="C155" s="101" t="inlineStr">
        <is>
          <t>Đồ họa</t>
        </is>
      </c>
      <c r="D155" s="101" t="inlineStr">
        <is>
          <t>Comment theo tên</t>
        </is>
      </c>
      <c r="E155" s="103" t="inlineStr">
        <is>
          <t>Comment theo tên</t>
        </is>
      </c>
      <c r="F155" s="101" t="inlineStr">
        <is>
          <t>Bôi đen các ô chứa tên ảnh — ví dụ cột số phiếu nghiệm thu A4:A8 . Giá trị ô là tên tệp ảnh, thường không ghi đuôi (NT-501).</t>
        </is>
      </c>
      <c r="G155" s="103" t="str">
        <f>HYPERLINK("https://dvdaddin.dvdpm.net/vi/commands/reference/btnPictureCommentByName","Mở hướng dẫn")</f>
        <v>Mở hướng dẫn</v>
      </c>
    </row>
    <row r="156">
      <c r="A156" s="102">
        <v>152</v>
      </c>
      <c r="B156" s="101" t="inlineStr">
        <is>
          <t>DVD Addin</t>
        </is>
      </c>
      <c r="C156" s="101" t="inlineStr">
        <is>
          <t>Đồ họa</t>
        </is>
      </c>
      <c r="D156" s="101" t="inlineStr">
        <is>
          <t>Chỉnh ảnh</t>
        </is>
      </c>
      <c r="E156" s="103" t="inlineStr">
        <is>
          <t>Chỉnh ảnh</t>
        </is>
      </c>
      <c r="F156" s="101" t="inlineStr">
        <is>
          <t>Nhấp chọn tấm ảnh bị lệch — ở đây ảnh đổ bê tông móng M3 trôi khỏi ô C8:C11 và che chữ cột D. Phải chọn đối tượng ảnh/Shape, không phải chọn ô.</t>
        </is>
      </c>
      <c r="G156" s="103" t="str">
        <f>HYPERLINK("https://dvdaddin.dvdpm.net/vi/commands/reference/btnMoveResizePic","Mở hướng dẫn")</f>
        <v>Mở hướng dẫn</v>
      </c>
    </row>
    <row r="157">
      <c r="A157" s="102">
        <v>153</v>
      </c>
      <c r="B157" s="101" t="inlineStr">
        <is>
          <t>DVD Addin</t>
        </is>
      </c>
      <c r="C157" s="101" t="inlineStr">
        <is>
          <t>Đồ họa</t>
        </is>
      </c>
      <c r="D157" s="101" t="inlineStr">
        <is>
          <t>Chụp và Ghi chú</t>
        </is>
      </c>
      <c r="E157" s="103" t="inlineStr">
        <is>
          <t>Chụp và Ghi chú</t>
        </is>
      </c>
      <c r="F157" s="101" t="inlineStr">
        <is>
          <t>Nhấp vào ô sẽ nhận ảnh, ví dụ B9 của biên bản họp — nút Chèn vào Excel đặt ảnh tại ô đang chọn.</t>
        </is>
      </c>
      <c r="G157" s="103" t="str">
        <f>HYPERLINK("https://dvdaddin.dvdpm.net/vi/commands/reference/btnScreenAnnotate","Mở hướng dẫn")</f>
        <v>Mở hướng dẫn</v>
      </c>
    </row>
    <row r="158">
      <c r="A158" s="102">
        <v>154</v>
      </c>
      <c r="B158" s="101" t="inlineStr">
        <is>
          <t>DVD Addin</t>
        </is>
      </c>
      <c r="C158" s="101" t="inlineStr">
        <is>
          <t>Đồ họa</t>
        </is>
      </c>
      <c r="D158" s="101" t="inlineStr">
        <is>
          <t>Khoanh mây</t>
        </is>
      </c>
      <c r="E158" s="104" t="inlineStr">
        <is>
          <t>— (không cần dữ liệu mẫu)</t>
        </is>
      </c>
      <c r="F158" s="101" t="inlineStr">
        <is>
          <t/>
        </is>
      </c>
      <c r="G158" s="103" t="str">
        <f>HYPERLINK("https://dvdaddin.dvdpm.net/vi/commands/reference/btnCloudRect","Mở hướng dẫn")</f>
        <v>Mở hướng dẫn</v>
      </c>
    </row>
    <row r="159">
      <c r="A159" s="102">
        <v>155</v>
      </c>
      <c r="B159" s="101" t="inlineStr">
        <is>
          <t>DVD Addin</t>
        </is>
      </c>
      <c r="C159" s="101" t="inlineStr">
        <is>
          <t>Đồ họa</t>
        </is>
      </c>
      <c r="D159" s="101" t="inlineStr">
        <is>
          <t>Mây đa giác</t>
        </is>
      </c>
      <c r="E159" s="103" t="inlineStr">
        <is>
          <t>Mây đa giác</t>
        </is>
      </c>
      <c r="F159" s="101" t="inlineStr">
        <is>
          <t>Bấm lần lượt sáu đỉnh theo mép vùng tăng cường hình chữ L → — bướu mây hiện theo con trỏ từ đỉnh thứ ba. Giữ Shift để cạnh đang vẽ bám góc 0°/45°/90°; bấm sai thì Backspace xoá đỉnh cuối, Esc bỏ cả hình.</t>
        </is>
      </c>
      <c r="G159" s="103" t="str">
        <f>HYPERLINK("https://dvdaddin.dvdpm.net/vi/commands/reference/btnCloudPoly","Mở hướng dẫn")</f>
        <v>Mở hướng dẫn</v>
      </c>
    </row>
    <row r="160">
      <c r="A160" s="102">
        <v>156</v>
      </c>
      <c r="B160" s="101" t="inlineStr">
        <is>
          <t>DVD Addin</t>
        </is>
      </c>
      <c r="C160" s="101" t="inlineStr">
        <is>
          <t>Đồ họa</t>
        </is>
      </c>
      <c r="D160" s="101" t="inlineStr">
        <is>
          <t>Mây quanh vùng chọn</t>
        </is>
      </c>
      <c r="E160" s="103" t="inlineStr">
        <is>
          <t>Mây quanh vùng chọn</t>
        </is>
      </c>
      <c r="F160" s="101" t="inlineStr">
        <is>
          <t>Chọn dòng 5, giữ Ctrl chọn tiếp dòng 8 và 11 — ba khối ô là ba dòng khối lượng đổi so với đợt trước. (Đang chọn shape hay ảnh thì mỗi shape được một đám quanh khung nhìn thấy của nó, shape giữ nguyên.)</t>
        </is>
      </c>
      <c r="G160" s="103" t="str">
        <f>HYPERLINK("https://dvdaddin.dvdpm.net/vi/commands/reference/btnCloudSelection","Mở hướng dẫn")</f>
        <v>Mở hướng dẫn</v>
      </c>
    </row>
    <row r="161">
      <c r="A161" s="102">
        <v>157</v>
      </c>
      <c r="B161" s="101" t="inlineStr">
        <is>
          <t>DVD Addin</t>
        </is>
      </c>
      <c r="C161" s="101" t="inlineStr">
        <is>
          <t>Đồ họa</t>
        </is>
      </c>
      <c r="D161" s="101" t="inlineStr">
        <is>
          <t>Chuyển thành mây</t>
        </is>
      </c>
      <c r="E161" s="104" t="inlineStr">
        <is>
          <t>— (không cần dữ liệu mẫu)</t>
        </is>
      </c>
      <c r="F161" s="101" t="inlineStr">
        <is>
          <t/>
        </is>
      </c>
      <c r="G161" s="103" t="str">
        <f>HYPERLINK("https://dvdaddin.dvdpm.net/vi/commands/reference/btnCloudConvert","Mở hướng dẫn")</f>
        <v>Mở hướng dẫn</v>
      </c>
    </row>
    <row r="162">
      <c r="A162" s="102">
        <v>158</v>
      </c>
      <c r="B162" s="101" t="inlineStr">
        <is>
          <t>DVD Addin</t>
        </is>
      </c>
      <c r="C162" s="101" t="inlineStr">
        <is>
          <t>Đồ họa</t>
        </is>
      </c>
      <c r="D162" s="101" t="inlineStr">
        <is>
          <t>Mũi tên</t>
        </is>
      </c>
      <c r="E162" s="104" t="inlineStr">
        <is>
          <t>— (không cần dữ liệu mẫu)</t>
        </is>
      </c>
      <c r="F162" s="101" t="inlineStr">
        <is>
          <t/>
        </is>
      </c>
      <c r="G162" s="103" t="str">
        <f>HYPERLINK("https://dvdaddin.dvdpm.net/vi/commands/reference/btnNoteArrow","Mở hướng dẫn")</f>
        <v>Mở hướng dẫn</v>
      </c>
    </row>
    <row r="163">
      <c r="A163" s="102">
        <v>159</v>
      </c>
      <c r="B163" s="101" t="inlineStr">
        <is>
          <t>DVD Addin</t>
        </is>
      </c>
      <c r="C163" s="101" t="inlineStr">
        <is>
          <t>Đồ họa</t>
        </is>
      </c>
      <c r="D163" s="101" t="inlineStr">
        <is>
          <t>Ghi chú chữ</t>
        </is>
      </c>
      <c r="E163" s="104" t="inlineStr">
        <is>
          <t>— (không cần dữ liệu mẫu)</t>
        </is>
      </c>
      <c r="F163" s="101" t="inlineStr">
        <is>
          <t/>
        </is>
      </c>
      <c r="G163" s="103" t="str">
        <f>HYPERLINK("https://dvdaddin.dvdpm.net/vi/commands/reference/btnNoteText","Mở hướng dẫn")</f>
        <v>Mở hướng dẫn</v>
      </c>
    </row>
    <row r="164">
      <c r="A164" s="102">
        <v>160</v>
      </c>
      <c r="B164" s="101" t="inlineStr">
        <is>
          <t>DVD Addin</t>
        </is>
      </c>
      <c r="C164" s="101" t="inlineStr">
        <is>
          <t>Đồ họa</t>
        </is>
      </c>
      <c r="D164" s="101" t="inlineStr">
        <is>
          <t>Ghi chú nền vàng</t>
        </is>
      </c>
      <c r="E164" s="104" t="inlineStr">
        <is>
          <t>— (không cần dữ liệu mẫu)</t>
        </is>
      </c>
      <c r="F164" s="101" t="inlineStr">
        <is>
          <t/>
        </is>
      </c>
      <c r="G164" s="103" t="str">
        <f>HYPERLINK("https://dvdaddin.dvdpm.net/vi/commands/reference/btnNoteSticky","Mở hướng dẫn")</f>
        <v>Mở hướng dẫn</v>
      </c>
    </row>
    <row r="165">
      <c r="A165" s="102">
        <v>161</v>
      </c>
      <c r="B165" s="101" t="inlineStr">
        <is>
          <t>DVD Addin</t>
        </is>
      </c>
      <c r="C165" s="101" t="inlineStr">
        <is>
          <t>Đồ họa</t>
        </is>
      </c>
      <c r="D165" s="101" t="inlineStr">
        <is>
          <t>Chú thích</t>
        </is>
      </c>
      <c r="E165" s="104" t="inlineStr">
        <is>
          <t>— (không cần dữ liệu mẫu)</t>
        </is>
      </c>
      <c r="F165" s="101" t="inlineStr">
        <is>
          <t/>
        </is>
      </c>
      <c r="G165" s="103" t="str">
        <f>HYPERLINK("https://dvdaddin.dvdpm.net/vi/commands/reference/btnNoteCallout","Mở hướng dẫn")</f>
        <v>Mở hướng dẫn</v>
      </c>
    </row>
    <row r="166">
      <c r="A166" s="102">
        <v>162</v>
      </c>
      <c r="B166" s="101" t="inlineStr">
        <is>
          <t>DVD Addin</t>
        </is>
      </c>
      <c r="C166" s="101" t="inlineStr">
        <is>
          <t>Đồ họa</t>
        </is>
      </c>
      <c r="D166" s="101" t="inlineStr">
        <is>
          <t>Tùy chọn mây…</t>
        </is>
      </c>
      <c r="E166" s="104" t="inlineStr">
        <is>
          <t>— (không cần dữ liệu mẫu)</t>
        </is>
      </c>
      <c r="F166" s="101" t="inlineStr">
        <is>
          <t/>
        </is>
      </c>
      <c r="G166" s="103" t="str">
        <f>HYPERLINK("https://dvdaddin.dvdpm.net/vi/commands/reference/btnCloudOptions","Mở hướng dẫn")</f>
        <v>Mở hướng dẫn</v>
      </c>
    </row>
    <row r="167">
      <c r="A167" s="102">
        <v>163</v>
      </c>
      <c r="B167" s="101" t="inlineStr">
        <is>
          <t>DVD Addin</t>
        </is>
      </c>
      <c r="C167" s="101" t="inlineStr">
        <is>
          <t>File và In</t>
        </is>
      </c>
      <c r="D167" s="101" t="inlineStr">
        <is>
          <t>Danh sách tên file</t>
        </is>
      </c>
      <c r="E167" s="103" t="inlineStr">
        <is>
          <t>Danh sách tên file</t>
        </is>
      </c>
      <c r="F167" s="101" t="inlineStr">
        <is>
          <t>Nhấp vào ô sẽ bắt đầu ghi danh sách, ví dụ A5 của sheet bảng kê .</t>
        </is>
      </c>
      <c r="G167" s="103" t="str">
        <f>HYPERLINK("https://dvdaddin.dvdpm.net/vi/commands/reference/btnFileList","Mở hướng dẫn")</f>
        <v>Mở hướng dẫn</v>
      </c>
    </row>
    <row r="168">
      <c r="A168" s="102">
        <v>164</v>
      </c>
      <c r="B168" s="101" t="inlineStr">
        <is>
          <t>DVD Addin</t>
        </is>
      </c>
      <c r="C168" s="101" t="inlineStr">
        <is>
          <t>File và In</t>
        </is>
      </c>
      <c r="D168" s="101" t="inlineStr">
        <is>
          <t>Gộp file</t>
        </is>
      </c>
      <c r="E168" s="104" t="inlineStr">
        <is>
          <t>— (không cần dữ liệu mẫu)</t>
        </is>
      </c>
      <c r="F168" s="101" t="inlineStr">
        <is>
          <t/>
        </is>
      </c>
      <c r="G168" s="103" t="str">
        <f>HYPERLINK("https://dvdaddin.dvdpm.net/vi/commands/reference/btnCombineFiles","Mở hướng dẫn")</f>
        <v>Mở hướng dẫn</v>
      </c>
    </row>
    <row r="169">
      <c r="A169" s="102">
        <v>165</v>
      </c>
      <c r="B169" s="101" t="inlineStr">
        <is>
          <t>DVD Addin</t>
        </is>
      </c>
      <c r="C169" s="101" t="inlineStr">
        <is>
          <t>File và In</t>
        </is>
      </c>
      <c r="D169" s="101" t="inlineStr">
        <is>
          <t>Tách bảng</t>
        </is>
      </c>
      <c r="E169" s="103" t="inlineStr">
        <is>
          <t>Tách bảng</t>
        </is>
      </c>
      <c r="F169" s="101" t="inlineStr">
        <is>
          <t>Bôi đen bảng cần tách, gồm cả dòng tiêu đề . Cột Hạng mục sẽ dùng làm cột khoá.</t>
        </is>
      </c>
      <c r="G169" s="103" t="str">
        <f>HYPERLINK("https://dvdaddin.dvdpm.net/vi/commands/reference/btnSplitTable","Mở hướng dẫn")</f>
        <v>Mở hướng dẫn</v>
      </c>
    </row>
    <row r="170">
      <c r="A170" s="102">
        <v>166</v>
      </c>
      <c r="B170" s="101" t="inlineStr">
        <is>
          <t>DVD Addin</t>
        </is>
      </c>
      <c r="C170" s="101" t="inlineStr">
        <is>
          <t>File và In</t>
        </is>
      </c>
      <c r="D170" s="101" t="inlineStr">
        <is>
          <t>So sánh sheet</t>
        </is>
      </c>
      <c r="E170" s="103" t="inlineStr">
        <is>
          <t>So sánh sheet</t>
        </is>
      </c>
      <c r="F170" s="101" t="inlineStr">
        <is>
          <t>Cuối cửa sổ báo Tìm thấy 8 khác biệt: 3 ô khác giá trị, 0 chỉ có ở A, 5 chỉ có ở B. Chi tiết nằm trong sheet mới So sánh của file B: phần đầu tóm tắt hai sheet và số ô đã so , bên dưới mỗi khác biệt một dòng — địa chỉ ô, giá trị ở A, ở B và loại khác biệt .</t>
        </is>
      </c>
      <c r="G170" s="103" t="str">
        <f>HYPERLINK("https://dvdaddin.dvdpm.net/vi/commands/reference/btnCompareSheets","Mở hướng dẫn")</f>
        <v>Mở hướng dẫn</v>
      </c>
    </row>
    <row r="171">
      <c r="A171" s="102">
        <v>167</v>
      </c>
      <c r="B171" s="101" t="inlineStr">
        <is>
          <t>DVD Addin</t>
        </is>
      </c>
      <c r="C171" s="101" t="inlineStr">
        <is>
          <t>File và In</t>
        </is>
      </c>
      <c r="D171" s="101" t="inlineStr">
        <is>
          <t>Trộn bảng</t>
        </is>
      </c>
      <c r="E171" s="103" t="inlineStr">
        <is>
          <t>Trộn bảng, Đơn giá</t>
        </is>
      </c>
      <c r="F171" s="101" t="inlineStr">
        <is>
          <t>Bảng chính có cột Mã hiệu nhưng còn trống Đơn vị và chưa có Đơn giá. Bảng đơn giá của công ty (cũng khoá theo mã hiệu) nằm ở sheet Đơn giá — có thể ở file khác đang mở.</t>
        </is>
      </c>
      <c r="G171" s="103" t="str">
        <f>HYPERLINK("https://dvdaddin.dvdpm.net/vi/commands/reference/btnMergeTables","Mở hướng dẫn")</f>
        <v>Mở hướng dẫn</v>
      </c>
    </row>
    <row r="172">
      <c r="A172" s="102">
        <v>168</v>
      </c>
      <c r="B172" s="101" t="inlineStr">
        <is>
          <t>DVD Addin</t>
        </is>
      </c>
      <c r="C172" s="101" t="inlineStr">
        <is>
          <t>File và In</t>
        </is>
      </c>
      <c r="D172" s="101" t="inlineStr">
        <is>
          <t>Đổi tên file</t>
        </is>
      </c>
      <c r="E172" s="103" t="inlineStr">
        <is>
          <t>Đổi tên file</t>
        </is>
      </c>
      <c r="F172" s="101" t="inlineStr">
        <is>
          <t>Lập bảng hai cột: cột trái là tên file cũ, cột phải là tên file mới (nên ghi kèm đuôi). Để trống cột ngay bên phải bảng — lệnh ghi trạng thái từng dòng vào đó. Vùng cần chọn là phần dữ liệu, không lấy dòng tiêu đề .</t>
        </is>
      </c>
      <c r="G172" s="103" t="str">
        <f>HYPERLINK("https://dvdaddin.dvdpm.net/vi/commands/reference/btnRenameFiles","Mở hướng dẫn")</f>
        <v>Mở hướng dẫn</v>
      </c>
    </row>
    <row r="173">
      <c r="A173" s="102">
        <v>169</v>
      </c>
      <c r="B173" s="101" t="inlineStr">
        <is>
          <t>DVD Addin</t>
        </is>
      </c>
      <c r="C173" s="101" t="inlineStr">
        <is>
          <t>File và In</t>
        </is>
      </c>
      <c r="D173" s="101" t="inlineStr">
        <is>
          <t>Cây thư mục file</t>
        </is>
      </c>
      <c r="E173" s="104" t="inlineStr">
        <is>
          <t>— (không cần dữ liệu mẫu)</t>
        </is>
      </c>
      <c r="F173" s="101" t="inlineStr">
        <is>
          <t/>
        </is>
      </c>
      <c r="G173" s="103" t="str">
        <f>HYPERLINK("https://dvdaddin.dvdpm.net/vi/commands/reference/btnFileTree","Mở hướng dẫn")</f>
        <v>Mở hướng dẫn</v>
      </c>
    </row>
    <row r="174">
      <c r="A174" s="102">
        <v>170</v>
      </c>
      <c r="B174" s="101" t="inlineStr">
        <is>
          <t>DVD Addin</t>
        </is>
      </c>
      <c r="C174" s="101" t="inlineStr">
        <is>
          <t>File và In</t>
        </is>
      </c>
      <c r="D174" s="101" t="inlineStr">
        <is>
          <t>Tạo Hyperlink</t>
        </is>
      </c>
      <c r="E174" s="103" t="inlineStr">
        <is>
          <t>Tạo Hyperlink</t>
        </is>
      </c>
      <c r="F174" s="101" t="inlineStr">
        <is>
          <t>Bôi đen các ô đang chứa đường dẫn file dạng văn bản .</t>
        </is>
      </c>
      <c r="G174" s="103" t="str">
        <f>HYPERLINK("https://dvdaddin.dvdpm.net/vi/commands/reference/btnCreateHyperlink","Mở hướng dẫn")</f>
        <v>Mở hướng dẫn</v>
      </c>
    </row>
    <row r="175">
      <c r="A175" s="102">
        <v>171</v>
      </c>
      <c r="B175" s="101" t="inlineStr">
        <is>
          <t>DVD Addin</t>
        </is>
      </c>
      <c r="C175" s="101" t="inlineStr">
        <is>
          <t>File và In</t>
        </is>
      </c>
      <c r="D175" s="101" t="inlineStr">
        <is>
          <t>Cây thư mục folder</t>
        </is>
      </c>
      <c r="E175" s="104" t="inlineStr">
        <is>
          <t>— (không cần dữ liệu mẫu)</t>
        </is>
      </c>
      <c r="F175" s="101" t="inlineStr">
        <is>
          <t/>
        </is>
      </c>
      <c r="G175" s="103" t="str">
        <f>HYPERLINK("https://dvdaddin.dvdpm.net/vi/commands/reference/btnFolderTree","Mở hướng dẫn")</f>
        <v>Mở hướng dẫn</v>
      </c>
    </row>
    <row r="176">
      <c r="A176" s="102">
        <v>172</v>
      </c>
      <c r="B176" s="101" t="inlineStr">
        <is>
          <t>DVD Addin</t>
        </is>
      </c>
      <c r="C176" s="101" t="inlineStr">
        <is>
          <t>File và In</t>
        </is>
      </c>
      <c r="D176" s="101" t="inlineStr">
        <is>
          <t>Tạo Folder</t>
        </is>
      </c>
      <c r="E176" s="103" t="inlineStr">
        <is>
          <t>Tạo Folder</t>
        </is>
      </c>
      <c r="F176" s="101" t="inlineStr">
        <is>
          <t>Gõ danh sách thư mục từ hàng 2 trở xuống : cột A = cấp 1, cột B = cấp 2, cột C = cấp 3… Ô trống nghĩa là giữ nguyên cấp trên của hàng trước, nên không phải lặp lại tên thư mục cha. Ô A1 để trống — lệnh sẽ ghi đường dẫn thư mục cha vào đó.</t>
        </is>
      </c>
      <c r="G176" s="103" t="str">
        <f>HYPERLINK("https://dvdaddin.dvdpm.net/vi/commands/reference/btnCreateFolder","Mở hướng dẫn")</f>
        <v>Mở hướng dẫn</v>
      </c>
    </row>
    <row r="177">
      <c r="A177" s="102">
        <v>173</v>
      </c>
      <c r="B177" s="101" t="inlineStr">
        <is>
          <t>DVD Addin</t>
        </is>
      </c>
      <c r="C177" s="101" t="inlineStr">
        <is>
          <t>File và In</t>
        </is>
      </c>
      <c r="D177" s="101" t="inlineStr">
        <is>
          <t>Bỏ dấu Folder</t>
        </is>
      </c>
      <c r="E177" s="104" t="inlineStr">
        <is>
          <t>— (không cần dữ liệu mẫu)</t>
        </is>
      </c>
      <c r="F177" s="101" t="inlineStr">
        <is>
          <t/>
        </is>
      </c>
      <c r="G177" s="103" t="str">
        <f>HYPERLINK("https://dvdaddin.dvdpm.net/vi/commands/reference/btnUnDiacriticsFolder","Mở hướng dẫn")</f>
        <v>Mở hướng dẫn</v>
      </c>
    </row>
    <row r="178">
      <c r="A178" s="102">
        <v>174</v>
      </c>
      <c r="B178" s="101" t="inlineStr">
        <is>
          <t>DVD Addin</t>
        </is>
      </c>
      <c r="C178" s="101" t="inlineStr">
        <is>
          <t>File và In</t>
        </is>
      </c>
      <c r="D178" s="101" t="inlineStr">
        <is>
          <t>Chỉnh cỡ ảnh</t>
        </is>
      </c>
      <c r="E178" s="104" t="inlineStr">
        <is>
          <t>— (không cần dữ liệu mẫu)</t>
        </is>
      </c>
      <c r="F178" s="101" t="inlineStr">
        <is>
          <t/>
        </is>
      </c>
      <c r="G178" s="103" t="str">
        <f>HYPERLINK("https://dvdaddin.dvdpm.net/vi/commands/reference/btnResizeImages","Mở hướng dẫn")</f>
        <v>Mở hướng dẫn</v>
      </c>
    </row>
    <row r="179">
      <c r="A179" s="102">
        <v>175</v>
      </c>
      <c r="B179" s="101" t="inlineStr">
        <is>
          <t>DVD Addin</t>
        </is>
      </c>
      <c r="C179" s="101" t="inlineStr">
        <is>
          <t>File và In</t>
        </is>
      </c>
      <c r="D179" s="101" t="inlineStr">
        <is>
          <t>Xuất ảnh</t>
        </is>
      </c>
      <c r="E179" s="104" t="inlineStr">
        <is>
          <t>— (không cần dữ liệu mẫu)</t>
        </is>
      </c>
      <c r="F179" s="101" t="inlineStr">
        <is>
          <t/>
        </is>
      </c>
      <c r="G179" s="103" t="str">
        <f>HYPERLINK("https://dvdaddin.dvdpm.net/vi/commands/reference/btnExportImages","Mở hướng dẫn")</f>
        <v>Mở hướng dẫn</v>
      </c>
    </row>
    <row r="180">
      <c r="A180" s="102">
        <v>176</v>
      </c>
      <c r="B180" s="101" t="inlineStr">
        <is>
          <t>DVD Addin</t>
        </is>
      </c>
      <c r="C180" s="101" t="inlineStr">
        <is>
          <t>File và In</t>
        </is>
      </c>
      <c r="D180" s="101" t="inlineStr">
        <is>
          <t>Chuyển âm thanh</t>
        </is>
      </c>
      <c r="E180" s="103" t="inlineStr">
        <is>
          <t>Chuyển âm thanh</t>
        </is>
      </c>
      <c r="F180" s="101" t="inlineStr">
        <is>
          <t>Chọn ô sẽ nhận bản gõ lại — nên là ô đầu của một cột trống, vì mỗi dòng sẽ ghi xuống một ô.</t>
        </is>
      </c>
      <c r="G180" s="103" t="str">
        <f>HYPERLINK("https://dvdaddin.dvdpm.net/vi/commands/reference/btnTranscribeAudio","Mở hướng dẫn")</f>
        <v>Mở hướng dẫn</v>
      </c>
    </row>
    <row r="181">
      <c r="A181" s="102">
        <v>177</v>
      </c>
      <c r="B181" s="101" t="inlineStr">
        <is>
          <t>DVD Addin</t>
        </is>
      </c>
      <c r="C181" s="101" t="inlineStr">
        <is>
          <t>File và In</t>
        </is>
      </c>
      <c r="D181" s="101" t="inlineStr">
        <is>
          <t>Mở khóa Sheet</t>
        </is>
      </c>
      <c r="E181" s="104" t="inlineStr">
        <is>
          <t>— (không cần dữ liệu mẫu)</t>
        </is>
      </c>
      <c r="F181" s="101" t="inlineStr">
        <is>
          <t/>
        </is>
      </c>
      <c r="G181" s="103" t="str">
        <f>HYPERLINK("https://dvdaddin.dvdpm.net/vi/commands/reference/btnUnprotectSheet","Mở hướng dẫn")</f>
        <v>Mở hướng dẫn</v>
      </c>
    </row>
    <row r="182">
      <c r="A182" s="102">
        <v>178</v>
      </c>
      <c r="B182" s="101" t="inlineStr">
        <is>
          <t>DVD Addin</t>
        </is>
      </c>
      <c r="C182" s="101" t="inlineStr">
        <is>
          <t>File và In</t>
        </is>
      </c>
      <c r="D182" s="101" t="inlineStr">
        <is>
          <t>Đọc PDF</t>
        </is>
      </c>
      <c r="E182" s="104" t="inlineStr">
        <is>
          <t>— (không cần dữ liệu mẫu)</t>
        </is>
      </c>
      <c r="F182" s="101" t="inlineStr">
        <is>
          <t/>
        </is>
      </c>
      <c r="G182" s="103" t="str">
        <f>HYPERLINK("https://dvdaddin.dvdpm.net/vi/commands/reference/btnReadPdf","Mở hướng dẫn")</f>
        <v>Mở hướng dẫn</v>
      </c>
    </row>
    <row r="183">
      <c r="A183" s="102">
        <v>179</v>
      </c>
      <c r="B183" s="101" t="inlineStr">
        <is>
          <t>DVD Addin</t>
        </is>
      </c>
      <c r="C183" s="101" t="inlineStr">
        <is>
          <t>File và In</t>
        </is>
      </c>
      <c r="D183" s="101" t="inlineStr">
        <is>
          <t>PDF Manager</t>
        </is>
      </c>
      <c r="E183" s="104" t="inlineStr">
        <is>
          <t>— (không cần dữ liệu mẫu)</t>
        </is>
      </c>
      <c r="F183" s="101" t="inlineStr">
        <is>
          <t/>
        </is>
      </c>
      <c r="G183" s="103" t="str">
        <f>HYPERLINK("https://dvdaddin.dvdpm.net/vi/commands/reference/btnPdfManager","Mở hướng dẫn")</f>
        <v>Mở hướng dẫn</v>
      </c>
    </row>
    <row r="184">
      <c r="A184" s="102">
        <v>180</v>
      </c>
      <c r="B184" s="101" t="inlineStr">
        <is>
          <t>DVD Addin</t>
        </is>
      </c>
      <c r="C184" s="101" t="inlineStr">
        <is>
          <t>File và In</t>
        </is>
      </c>
      <c r="D184" s="101" t="inlineStr">
        <is>
          <t>Đóng dấu PDF</t>
        </is>
      </c>
      <c r="E184" s="104" t="inlineStr">
        <is>
          <t>— (không cần dữ liệu mẫu)</t>
        </is>
      </c>
      <c r="F184" s="101" t="inlineStr">
        <is>
          <t/>
        </is>
      </c>
      <c r="G184" s="103" t="str">
        <f>HYPERLINK("https://dvdaddin.dvdpm.net/vi/commands/reference/btnPdfStamp","Mở hướng dẫn")</f>
        <v>Mở hướng dẫn</v>
      </c>
    </row>
    <row r="185">
      <c r="A185" s="102">
        <v>181</v>
      </c>
      <c r="B185" s="101" t="inlineStr">
        <is>
          <t>DVD Addin</t>
        </is>
      </c>
      <c r="C185" s="101" t="inlineStr">
        <is>
          <t>File và In</t>
        </is>
      </c>
      <c r="D185" s="101" t="inlineStr">
        <is>
          <t>Word → PDF</t>
        </is>
      </c>
      <c r="E185" s="104" t="inlineStr">
        <is>
          <t>— (không cần dữ liệu mẫu)</t>
        </is>
      </c>
      <c r="F185" s="101" t="inlineStr">
        <is>
          <t/>
        </is>
      </c>
      <c r="G185" s="103" t="str">
        <f>HYPERLINK("https://dvdaddin.dvdpm.net/vi/commands/reference/btnWordtoPDF","Mở hướng dẫn")</f>
        <v>Mở hướng dẫn</v>
      </c>
    </row>
    <row r="186">
      <c r="A186" s="102">
        <v>182</v>
      </c>
      <c r="B186" s="101" t="inlineStr">
        <is>
          <t>DVD Addin</t>
        </is>
      </c>
      <c r="C186" s="101" t="inlineStr">
        <is>
          <t>File và In</t>
        </is>
      </c>
      <c r="D186" s="101" t="inlineStr">
        <is>
          <t>Visio → PDF</t>
        </is>
      </c>
      <c r="E186" s="104" t="inlineStr">
        <is>
          <t>— (không cần dữ liệu mẫu)</t>
        </is>
      </c>
      <c r="F186" s="101" t="inlineStr">
        <is>
          <t/>
        </is>
      </c>
      <c r="G186" s="103" t="str">
        <f>HYPERLINK("https://dvdaddin.dvdpm.net/vi/commands/reference/btnVisiotoPDF","Mở hướng dẫn")</f>
        <v>Mở hướng dẫn</v>
      </c>
    </row>
    <row r="187">
      <c r="A187" s="102">
        <v>183</v>
      </c>
      <c r="B187" s="101" t="inlineStr">
        <is>
          <t>DVD Addin</t>
        </is>
      </c>
      <c r="C187" s="101" t="inlineStr">
        <is>
          <t>File và In</t>
        </is>
      </c>
      <c r="D187" s="101" t="inlineStr">
        <is>
          <t>OCR file</t>
        </is>
      </c>
      <c r="E187" s="103" t="inlineStr">
        <is>
          <t>OCR file</t>
        </is>
      </c>
      <c r="F187" s="101" t="inlineStr">
        <is>
          <t>Chọn ô sẽ nhận dòng đầu tiên của kết quả . Văn bản đổ xuống các ô bên dưới trong cùng cột, nên để trống vùng dưới ô này.</t>
        </is>
      </c>
      <c r="G187" s="103" t="str">
        <f>HYPERLINK("https://dvdaddin.dvdpm.net/vi/commands/reference/btnOCR","Mở hướng dẫn")</f>
        <v>Mở hướng dẫn</v>
      </c>
    </row>
    <row r="188">
      <c r="A188" s="102">
        <v>184</v>
      </c>
      <c r="B188" s="101" t="inlineStr">
        <is>
          <t>DVD Addin</t>
        </is>
      </c>
      <c r="C188" s="101" t="inlineStr">
        <is>
          <t>File và In</t>
        </is>
      </c>
      <c r="D188" s="101" t="inlineStr">
        <is>
          <t>Trích bảng</t>
        </is>
      </c>
      <c r="E188" s="103" t="inlineStr">
        <is>
          <t>Trích bảng</t>
        </is>
      </c>
      <c r="F188" s="101" t="inlineStr">
        <is>
          <t>Chọn ô sẽ là góc trên-trái của bảng được dán .</t>
        </is>
      </c>
      <c r="G188" s="103" t="str">
        <f>HYPERLINK("https://dvdaddin.dvdpm.net/vi/commands/reference/btnExtractTable","Mở hướng dẫn")</f>
        <v>Mở hướng dẫn</v>
      </c>
    </row>
    <row r="189">
      <c r="A189" s="102">
        <v>185</v>
      </c>
      <c r="B189" s="101" t="inlineStr">
        <is>
          <t>DVD Addin</t>
        </is>
      </c>
      <c r="C189" s="101" t="inlineStr">
        <is>
          <t>File và In</t>
        </is>
      </c>
      <c r="D189" s="101" t="inlineStr">
        <is>
          <t>OCR Screen Clip</t>
        </is>
      </c>
      <c r="E189" s="103" t="inlineStr">
        <is>
          <t>OCR Screen Clip</t>
        </is>
      </c>
      <c r="F189" s="101" t="inlineStr">
        <is>
          <t>Mở sẵn cửa sổ chứa nội dung cần lấy (PDF, phần mềm dự toán, bản vẽ, trang web…) rồi chuyển về Excel và chọn ô sẽ nhận văn bản .</t>
        </is>
      </c>
      <c r="G189" s="103" t="str">
        <f>HYPERLINK("https://dvdaddin.dvdpm.net/vi/commands/reference/btnScreenClipOCR","Mở hướng dẫn")</f>
        <v>Mở hướng dẫn</v>
      </c>
    </row>
    <row r="190">
      <c r="A190" s="102">
        <v>186</v>
      </c>
      <c r="B190" s="101" t="inlineStr">
        <is>
          <t>DVD Addin</t>
        </is>
      </c>
      <c r="C190" s="101" t="inlineStr">
        <is>
          <t>File và In</t>
        </is>
      </c>
      <c r="D190" s="101" t="inlineStr">
        <is>
          <t>In hàng loạt</t>
        </is>
      </c>
      <c r="E190" s="103" t="inlineStr">
        <is>
          <t>In hàng loạt</t>
        </is>
      </c>
      <c r="F190" s="101" t="inlineStr">
        <is>
          <t>Chuẩn bị biểu mẫu lấy dữ liệu theo một ô điều khiển — ở đây B3 chứa số thứ tự cấu kiện , các ô bên dưới dùng VLOOKUP theo B3. Thêm một ô ghi tên các sheet cần in, ngăn bằng + , và một ô tạo tên file PDF cho mỗi vòng, ví dụ ="BBNT_Cot_"&amp;B3 .</t>
        </is>
      </c>
      <c r="G190" s="103" t="str">
        <f>HYPERLINK("https://dvdaddin.dvdpm.net/vi/commands/reference/btnBatchPrint","Mở hướng dẫn")</f>
        <v>Mở hướng dẫn</v>
      </c>
    </row>
    <row r="191">
      <c r="A191" s="102">
        <v>187</v>
      </c>
      <c r="B191" s="101" t="inlineStr">
        <is>
          <t>DVD Addin</t>
        </is>
      </c>
      <c r="C191" s="101" t="inlineStr">
        <is>
          <t>File và In</t>
        </is>
      </c>
      <c r="D191" s="101" t="inlineStr">
        <is>
          <t>Đặt lề trang</t>
        </is>
      </c>
      <c r="E191" s="103" t="inlineStr">
        <is>
          <t>Đặt lề trang</t>
        </is>
      </c>
      <c r="F191" s="101" t="inlineStr">
        <is>
          <t>Chọn các sheet cần đặt lề: bấm tab sheet đầu tiên rồi giữ Shift bấm tab cuối để chọn liền dải (hoặc giữ Ctrl để chọn rời) — ở đây bốn sheet biên bản BB-01 … BB-04.</t>
        </is>
      </c>
      <c r="G191" s="103" t="str">
        <f>HYPERLINK("https://dvdaddin.dvdpm.net/vi/commands/reference/btnSetPageMargins","Mở hướng dẫn")</f>
        <v>Mở hướng dẫn</v>
      </c>
    </row>
    <row r="192">
      <c r="A192" s="102">
        <v>188</v>
      </c>
      <c r="B192" s="101" t="inlineStr">
        <is>
          <t>DVD Addin</t>
        </is>
      </c>
      <c r="C192" s="101" t="inlineStr">
        <is>
          <t>File và In</t>
        </is>
      </c>
      <c r="D192" s="101" t="inlineStr">
        <is>
          <t>Đồng bộ trang in</t>
        </is>
      </c>
      <c r="E192" s="104" t="inlineStr">
        <is>
          <t>— (không cần dữ liệu mẫu)</t>
        </is>
      </c>
      <c r="F192" s="101" t="inlineStr">
        <is>
          <t/>
        </is>
      </c>
      <c r="G192" s="103" t="str">
        <f>HYPERLINK("https://dvdaddin.dvdpm.net/vi/commands/reference/btnSyncPageSetup","Mở hướng dẫn")</f>
        <v>Mở hướng dẫn</v>
      </c>
    </row>
    <row r="193">
      <c r="A193" s="102">
        <v>189</v>
      </c>
      <c r="B193" s="101" t="inlineStr">
        <is>
          <t>DVD Addin</t>
        </is>
      </c>
      <c r="C193" s="101" t="inlineStr">
        <is>
          <t>File và In</t>
        </is>
      </c>
      <c r="D193" s="101" t="inlineStr">
        <is>
          <t>In từng trang</t>
        </is>
      </c>
      <c r="E193" s="104" t="inlineStr">
        <is>
          <t>— (không cần dữ liệu mẫu)</t>
        </is>
      </c>
      <c r="F193" s="101" t="inlineStr">
        <is>
          <t/>
        </is>
      </c>
      <c r="G193" s="103" t="str">
        <f>HYPERLINK("https://dvdaddin.dvdpm.net/vi/commands/reference/btnPrintPages","Mở hướng dẫn")</f>
        <v>Mở hướng dẫn</v>
      </c>
    </row>
    <row r="194">
      <c r="A194" s="102">
        <v>190</v>
      </c>
      <c r="B194" s="101" t="inlineStr">
        <is>
          <t>DVD Addin</t>
        </is>
      </c>
      <c r="C194" s="101" t="inlineStr">
        <is>
          <t>File và In</t>
        </is>
      </c>
      <c r="D194" s="101" t="inlineStr">
        <is>
          <t>Lề gương in hai mặt</t>
        </is>
      </c>
      <c r="E194" s="104" t="inlineStr">
        <is>
          <t>— (không cần dữ liệu mẫu)</t>
        </is>
      </c>
      <c r="F194" s="101" t="inlineStr">
        <is>
          <t/>
        </is>
      </c>
      <c r="G194" s="103" t="str">
        <f>HYPERLINK("https://dvdaddin.dvdpm.net/vi/commands/reference/btnPrintMirrorMargins","Mở hướng dẫn")</f>
        <v>Mở hướng dẫn</v>
      </c>
    </row>
    <row r="195">
      <c r="A195" s="102">
        <v>191</v>
      </c>
      <c r="B195" s="101" t="inlineStr">
        <is>
          <t>DVD Addin</t>
        </is>
      </c>
      <c r="C195" s="101" t="inlineStr">
        <is>
          <t>File và In</t>
        </is>
      </c>
      <c r="D195" s="101" t="inlineStr">
        <is>
          <t>Sheet → PDF</t>
        </is>
      </c>
      <c r="E195" s="103" t="inlineStr">
        <is>
          <t>Sheet → PDF</t>
        </is>
      </c>
      <c r="F195" s="101" t="inlineStr">
        <is>
          <t>Lưu workbook trước (PDF được ghi vào thư mục chứa workbook). Chọn các sheet cần xuất: bấm tab đầu tiên rồi giữ Ctrl bấm thêm , (hoặc Shift để chọn một dải) — các sheet tính toán nội bộ để nguyên không chọn.</t>
        </is>
      </c>
      <c r="G195" s="103" t="str">
        <f>HYPERLINK("https://dvdaddin.dvdpm.net/vi/commands/reference/btnSelectedSheetsToPDF","Mở hướng dẫn")</f>
        <v>Mở hướng dẫn</v>
      </c>
    </row>
    <row r="196">
      <c r="A196" s="102">
        <v>192</v>
      </c>
      <c r="B196" s="101" t="inlineStr">
        <is>
          <t>DVD Addin</t>
        </is>
      </c>
      <c r="C196" s="101" t="inlineStr">
        <is>
          <t>File và In</t>
        </is>
      </c>
      <c r="D196" s="101" t="inlineStr">
        <is>
          <t>Gửi Email</t>
        </is>
      </c>
      <c r="E196" s="103" t="inlineStr">
        <is>
          <t>Gửi Email</t>
        </is>
      </c>
      <c r="F196" s="101" t="inlineStr">
        <is>
          <t>Chuẩn bị sheet dữ liệu, mỗi dòng một thư (có thể lấy khung từ Mẫu Email). Ô B3 là ô driver ; dòng 3 dùng VLOOKUP theo B3 để trả về người gửi, To, Cc, Bcc, tiêu đề… của dòng tương ứng — các trường trong cửa sổ Gửi Email sẽ trỏ vào dòng này.</t>
        </is>
      </c>
      <c r="G196" s="103" t="str">
        <f>HYPERLINK("https://dvdaddin.dvdpm.net/vi/commands/reference/btnSendEmail","Mở hướng dẫn")</f>
        <v>Mở hướng dẫn</v>
      </c>
    </row>
    <row r="197">
      <c r="A197" s="102">
        <v>193</v>
      </c>
      <c r="B197" s="101" t="inlineStr">
        <is>
          <t>DVD Addin</t>
        </is>
      </c>
      <c r="C197" s="101" t="inlineStr">
        <is>
          <t>File và In</t>
        </is>
      </c>
      <c r="D197" s="101" t="inlineStr">
        <is>
          <t>Lấy Email</t>
        </is>
      </c>
      <c r="E197" s="104" t="inlineStr">
        <is>
          <t>— (không cần dữ liệu mẫu)</t>
        </is>
      </c>
      <c r="F197" s="101" t="inlineStr">
        <is>
          <t/>
        </is>
      </c>
      <c r="G197" s="103" t="str">
        <f>HYPERLINK("https://dvdaddin.dvdpm.net/vi/commands/reference/btnImportEmails","Mở hướng dẫn")</f>
        <v>Mở hướng dẫn</v>
      </c>
    </row>
    <row r="198">
      <c r="A198" s="102">
        <v>194</v>
      </c>
      <c r="B198" s="101" t="inlineStr">
        <is>
          <t>DVD Addin</t>
        </is>
      </c>
      <c r="C198" s="101" t="inlineStr">
        <is>
          <t>File và In</t>
        </is>
      </c>
      <c r="D198" s="101" t="inlineStr">
        <is>
          <t>Mẫu Email</t>
        </is>
      </c>
      <c r="E198" s="103" t="inlineStr">
        <is>
          <t>Mẫu Email</t>
        </is>
      </c>
      <c r="F198" s="101" t="inlineStr">
        <is>
          <t>File mẫu SendEmail.xlsx (thư mục Template của add-in) mở ra. Dòng 9 là hàng tiêu đề cố định : No., Send Date, Sender Email, To, Cc, Bcc, Subject, Name, Company, Body, Link, Attachment, Note — mỗi thư một dòng từ dòng 10, thay các dòng mẫu bằng dữ liệu của bạn . Ô B8 là ô driver; dòng 8 tự lấy dữ liệu của dòng có số thứ tự bằng B8 .</t>
        </is>
      </c>
      <c r="G198" s="103" t="str">
        <f>HYPERLINK("https://dvdaddin.dvdpm.net/vi/commands/reference/btnEmailTpl","Mở hướng dẫn")</f>
        <v>Mở hướng dẫn</v>
      </c>
    </row>
    <row r="199">
      <c r="A199" s="102">
        <v>195</v>
      </c>
      <c r="B199" s="101" t="inlineStr">
        <is>
          <t>DVD Addin</t>
        </is>
      </c>
      <c r="C199" s="101" t="inlineStr">
        <is>
          <t>File và In</t>
        </is>
      </c>
      <c r="D199" s="101" t="inlineStr">
        <is>
          <t>Trộn sang Word</t>
        </is>
      </c>
      <c r="E199" s="103" t="inlineStr">
        <is>
          <t>Trộn sang Word</t>
        </is>
      </c>
      <c r="F199" s="101" t="inlineStr">
        <is>
          <t>Chuẩn bị vùng dữ liệu, dòng đầu là tiêu đề cột — tên tiêu đề chính là chỗ trống trong file Word mẫu, ví dụ mẫu BBNT_Cong.docx có câu Hôm nay, ngày [NgayNghiemThu], tại lý trình [LyTrinh]…. Mỗi dòng bên dưới sinh ra một file Word.</t>
        </is>
      </c>
      <c r="G199" s="103" t="str">
        <f>HYPERLINK("https://dvdaddin.dvdpm.net/vi/commands/reference/btnMergeWord","Mở hướng dẫn")</f>
        <v>Mở hướng dẫn</v>
      </c>
    </row>
    <row r="200">
      <c r="A200" s="102">
        <v>196</v>
      </c>
      <c r="B200" s="101" t="inlineStr">
        <is>
          <t>DVD Addin</t>
        </is>
      </c>
      <c r="C200" s="101" t="inlineStr">
        <is>
          <t>File và In</t>
        </is>
      </c>
      <c r="D200" s="101" t="inlineStr">
        <is>
          <t>Tạo tiêu đề</t>
        </is>
      </c>
      <c r="E200" s="103" t="inlineStr">
        <is>
          <t>Tạo tiêu đề</t>
        </is>
      </c>
      <c r="F200" s="101" t="inlineStr">
        <is>
          <t>Hộp DVD Addin — Tạo dòng tiêu đề nhắc Quét chọn dòng Tiêu đề để thêm dấu ngoặc vuông [...]: quét đúng dòng tiêu đề A3:F3 rồi bấm OK (Cancel là thoát, không đổi gì).</t>
        </is>
      </c>
      <c r="G200" s="103" t="str">
        <f>HYPERLINK("https://dvdaddin.dvdpm.net/vi/commands/reference/btnCreateTitle","Mở hướng dẫn")</f>
        <v>Mở hướng dẫn</v>
      </c>
    </row>
    <row r="201">
      <c r="A201" s="102">
        <v>197</v>
      </c>
      <c r="B201" s="101" t="inlineStr">
        <is>
          <t>DVD Addin</t>
        </is>
      </c>
      <c r="C201" s="101" t="inlineStr">
        <is>
          <t>Hiển thị và Sheet</t>
        </is>
      </c>
      <c r="D201" s="101" t="inlineStr">
        <is>
          <t>Nổi bật hàng cột</t>
        </is>
      </c>
      <c r="E201" s="103" t="inlineStr">
        <is>
          <t>Nổi bật hàng cột</t>
        </is>
      </c>
      <c r="F201" s="101" t="inlineStr">
        <is>
          <t>Chọn một ô bất kỳ, ví dụ ô Thành tiền của dòng 8: cả hàng và cột chứa ô đó được phủ một lớp màu trong suốt (mặc định xanh lơ, đậm 50%, tô cả hàng và cột), riêng ô đang chọn để trống. Di chuyển ô chọn bằng chuột hay phím mũi tên, vệt sáng đi theo.</t>
        </is>
      </c>
      <c r="G201" s="103" t="str">
        <f>HYPERLINK("https://dvdaddin.dvdpm.net/vi/commands/reference/ToggleReadingLayout","Mở hướng dẫn")</f>
        <v>Mở hướng dẫn</v>
      </c>
    </row>
    <row r="202">
      <c r="A202" s="102">
        <v>198</v>
      </c>
      <c r="B202" s="101" t="inlineStr">
        <is>
          <t>DVD Addin</t>
        </is>
      </c>
      <c r="C202" s="101" t="inlineStr">
        <is>
          <t>Hiển thị và Sheet</t>
        </is>
      </c>
      <c r="D202" s="101" t="inlineStr">
        <is>
          <t>Danh sách Sheet</t>
        </is>
      </c>
      <c r="E202" s="103" t="inlineStr">
        <is>
          <t>Danh sách Sheet</t>
        </is>
      </c>
      <c r="F202" s="101" t="inlineStr">
        <is>
          <t>Mở workbook cần lập mục lục. Liên kết quay về mục lục sẽ được ghi vào cùng một ô trên mọi sheet đang hiện — mặc định là ô A1 , nên để trống ô này.</t>
        </is>
      </c>
      <c r="G202" s="103" t="str">
        <f>HYPERLINK("https://dvdaddin.dvdpm.net/vi/commands/reference/btnSheetList","Mở hướng dẫn")</f>
        <v>Mở hướng dẫn</v>
      </c>
    </row>
    <row r="203">
      <c r="A203" s="102">
        <v>199</v>
      </c>
      <c r="B203" s="101" t="inlineStr">
        <is>
          <t>DVD Addin</t>
        </is>
      </c>
      <c r="C203" s="101" t="inlineStr">
        <is>
          <t>Hiển thị và Sheet</t>
        </is>
      </c>
      <c r="D203" s="101" t="inlineStr">
        <is>
          <t>Đổi tên Sheet</t>
        </is>
      </c>
      <c r="E203" s="103" t="inlineStr">
        <is>
          <t>Đổi tên Sheet</t>
        </is>
      </c>
      <c r="F203" s="101" t="inlineStr">
        <is>
          <t>Trên một sheet bất kỳ, lập bảng hai cột liền nhau: cột trái là tên sheet hiện tại , cột phải là tên mới .</t>
        </is>
      </c>
      <c r="G203" s="103" t="str">
        <f>HYPERLINK("https://dvdaddin.dvdpm.net/vi/commands/reference/btnRenameSheets","Mở hướng dẫn")</f>
        <v>Mở hướng dẫn</v>
      </c>
    </row>
    <row r="204">
      <c r="A204" s="102">
        <v>200</v>
      </c>
      <c r="B204" s="101" t="inlineStr">
        <is>
          <t>DVD Addin</t>
        </is>
      </c>
      <c r="C204" s="101" t="inlineStr">
        <is>
          <t>Hiển thị và Sheet</t>
        </is>
      </c>
      <c r="D204" s="101" t="inlineStr">
        <is>
          <t>Đánh số Sheet</t>
        </is>
      </c>
      <c r="E204" s="103" t="inlineStr">
        <is>
          <t>Đánh số Sheet</t>
        </is>
      </c>
      <c r="F204" s="101" t="inlineStr">
        <is>
          <t>⚠ Lệnh tác động lên MỌI sheet của workbook: giữ Ctrl chọn các sheet Đánh số Sheet, chuột phải → Di chuyển hoặc Sao chép → (sách mới), tick Tạo bản sao, rồi thử trong workbook mới. Kéo các tab về đúng trình tự đọc/in mong muốn. Sheet phụ không muốn đánh số thì ẩn đi — sheet ẩn được bỏ qua và không chiếm số.</t>
        </is>
      </c>
      <c r="G204" s="103" t="str">
        <f>HYPERLINK("https://dvdaddin.dvdpm.net/vi/commands/reference/btnSheetAutoNumber","Mở hướng dẫn")</f>
        <v>Mở hướng dẫn</v>
      </c>
    </row>
    <row r="205">
      <c r="A205" s="102">
        <v>201</v>
      </c>
      <c r="B205" s="101" t="inlineStr">
        <is>
          <t>DVD Addin</t>
        </is>
      </c>
      <c r="C205" s="101" t="inlineStr">
        <is>
          <t>Hiển thị và Sheet</t>
        </is>
      </c>
      <c r="D205" s="101" t="inlineStr">
        <is>
          <t>Bỏ dấu Sheet</t>
        </is>
      </c>
      <c r="E205" s="103" t="inlineStr">
        <is>
          <t>Bỏ dấu Sheet, Khối lượng móng, Đài móng - Cọc, Nghiệm thu thép, Phụ lục 01</t>
        </is>
      </c>
      <c r="F205" s="101" t="inlineStr">
        <is>
          <t>⚠ Lệnh tác động lên MỌI sheet của workbook: giữ Ctrl chọn các sheet Bỏ dấu Sheet, Khối lượng móng, Đài móng - Cọc, Nghiệm thu thép, Phụ lục 01, chuột phải → Di chuyển hoặc Sao chép → (sách mới), tick Tạo bản sao, rồi thử trong workbook mới. Mở workbook có tên sheet tiếng Việt có dấu. Lệnh xử lý mọi sheet của workbook đang hoạt động, kể cả sheet ẩn. Ô D4 đang tham chiếu sang sheet Khối lượng móng.</t>
        </is>
      </c>
      <c r="G205" s="103" t="str">
        <f>HYPERLINK("https://dvdaddin.dvdpm.net/vi/commands/reference/btnUnDiacriticsViSheets","Mở hướng dẫn")</f>
        <v>Mở hướng dẫn</v>
      </c>
    </row>
    <row r="206">
      <c r="A206" s="102">
        <v>202</v>
      </c>
      <c r="B206" s="101" t="inlineStr">
        <is>
          <t>DVD Addin</t>
        </is>
      </c>
      <c r="C206" s="101" t="inlineStr">
        <is>
          <t>Hiển thị và Sheet</t>
        </is>
      </c>
      <c r="D206" s="101" t="inlineStr">
        <is>
          <t>Ẩn Sheet khác</t>
        </is>
      </c>
      <c r="E206" s="103" t="inlineStr">
        <is>
          <t>Ẩn Sheet khác, KL-Mong, KL-Than, DonGia-NoiBo, Chietinh, Phuluc, Nhap1</t>
        </is>
      </c>
      <c r="F206" s="101" t="inlineStr">
        <is>
          <t>⚠ Lệnh tác động lên MỌI sheet của workbook: giữ Ctrl chọn các sheet Ẩn Sheet khác, KL-Mong, KL-Than, DonGia-NoiBo, Chietinh, Phuluc, Nhap1, chuột phải → Di chuyển hoặc Sao chép → (sách mới), tick Tạo bản sao, rồi thử trong workbook mới. Trên thanh tab, chọn các sheet muốn giữ lại: bấm Tonghop , giữ Ctrl và bấm thêm KL-Mong , KL-Than , Phuluc (giữ Shift để chọn một dải liền nhau). Ở đây DonGia-NoiBo, Chietinh, Nhap1 là số liệu nội bộ không gửi đi.</t>
        </is>
      </c>
      <c r="G206" s="103" t="str">
        <f>HYPERLINK("https://dvdaddin.dvdpm.net/vi/commands/reference/btnHideUnselectedSheets","Mở hướng dẫn")</f>
        <v>Mở hướng dẫn</v>
      </c>
    </row>
    <row r="207">
      <c r="A207" s="102">
        <v>203</v>
      </c>
      <c r="B207" s="101" t="inlineStr">
        <is>
          <t>DVD Addin</t>
        </is>
      </c>
      <c r="C207" s="101" t="inlineStr">
        <is>
          <t>Hiển thị và Sheet</t>
        </is>
      </c>
      <c r="D207" s="101" t="inlineStr">
        <is>
          <t>Hiện tất cả</t>
        </is>
      </c>
      <c r="E207" s="103" t="inlineStr">
        <is>
          <t>Hiện tất cả, Chietinh-VT, Giavatlieu, DonGia-CT, KL, Phuluc (2)</t>
        </is>
      </c>
      <c r="F207" s="101" t="inlineStr">
        <is>
          <t>⚠ Lệnh tác động lên MỌI sheet của workbook: giữ Ctrl chọn các sheet Hiện tất cả, Chietinh-VT, Giavatlieu, DonGia-CT, KL, Phuluc (2), chuột phải → Di chuyển hoặc Sao chép → (sách mới), tick Tạo bản sao, rồi thử trong workbook mới. Mở workbook cần bỏ ẩn. Ví dụ file dự toán nhận từ tư vấn chỉ hiện 3 sheet, nhưng ô đơn giá lại tham chiếu sang sheet Chietinh-VT không thấy trên thanh tab — dấu hiệu còn sheet bị ẩn.</t>
        </is>
      </c>
      <c r="G207" s="103" t="str">
        <f>HYPERLINK("https://dvdaddin.dvdpm.net/vi/commands/reference/btnUnhideAllSheets","Mở hướng dẫn")</f>
        <v>Mở hướng dẫn</v>
      </c>
    </row>
    <row r="208">
      <c r="A208" s="102">
        <v>204</v>
      </c>
      <c r="B208" s="101" t="inlineStr">
        <is>
          <t>DVD Addin</t>
        </is>
      </c>
      <c r="C208" s="101" t="inlineStr">
        <is>
          <t>Hiển thị và Sheet</t>
        </is>
      </c>
      <c r="D208" s="101" t="inlineStr">
        <is>
          <t>Điều hướng</t>
        </is>
      </c>
      <c r="E208" s="104" t="inlineStr">
        <is>
          <t>— (không cần dữ liệu mẫu)</t>
        </is>
      </c>
      <c r="F208" s="101" t="inlineStr">
        <is>
          <t/>
        </is>
      </c>
      <c r="G208" s="103" t="str">
        <f>HYPERLINK("https://dvdaddin.dvdpm.net/vi/commands/reference/btnNavigation","Mở hướng dẫn")</f>
        <v>Mở hướng dẫn</v>
      </c>
    </row>
    <row r="209">
      <c r="A209" s="102">
        <v>205</v>
      </c>
      <c r="B209" s="101" t="inlineStr">
        <is>
          <t>DVD Addin</t>
        </is>
      </c>
      <c r="C209" s="101" t="inlineStr">
        <is>
          <t>Hiển thị và Sheet</t>
        </is>
      </c>
      <c r="D209" s="101" t="inlineStr">
        <is>
          <t>Thanh tab</t>
        </is>
      </c>
      <c r="E209" s="104" t="inlineStr">
        <is>
          <t>— (không cần dữ liệu mẫu)</t>
        </is>
      </c>
      <c r="F209" s="101" t="inlineStr">
        <is>
          <t/>
        </is>
      </c>
      <c r="G209" s="103" t="str">
        <f>HYPERLINK("https://dvdaddin.dvdpm.net/vi/commands/reference/ToggleTabBar","Mở hướng dẫn")</f>
        <v>Mở hướng dẫn</v>
      </c>
    </row>
    <row r="210">
      <c r="A210" s="102">
        <v>206</v>
      </c>
      <c r="B210" s="101" t="inlineStr">
        <is>
          <t>DVD Addin</t>
        </is>
      </c>
      <c r="C210" s="101" t="inlineStr">
        <is>
          <t>Hiển thị và Sheet</t>
        </is>
      </c>
      <c r="D210" s="101" t="inlineStr">
        <is>
          <t>Xem ảnh</t>
        </is>
      </c>
      <c r="E210" s="103" t="inlineStr">
        <is>
          <t>Xem ảnh</t>
        </is>
      </c>
      <c r="F210" s="101" t="inlineStr">
        <is>
          <t>Add-in gắn hành vi bấm-để-phóng cho mọi ảnh trên sheet chưa gán macro riêng và báo số ảnh trên thanh trạng thái (trong hình, ô xám là chỗ đặt ảnh). Chế độ được ghi nhớ: chuyển sang sheet hay workbook khác, ảnh ở đó cũng tự được gắn.</t>
        </is>
      </c>
      <c r="G210" s="103" t="str">
        <f>HYPERLINK("https://dvdaddin.dvdpm.net/vi/commands/reference/ToggleViewImage","Mở hướng dẫn")</f>
        <v>Mở hướng dẫn</v>
      </c>
    </row>
    <row r="211">
      <c r="A211" s="102">
        <v>207</v>
      </c>
      <c r="B211" s="101" t="inlineStr">
        <is>
          <t>DVD Addin</t>
        </is>
      </c>
      <c r="C211" s="101" t="inlineStr">
        <is>
          <t>Hiển thị và Sheet</t>
        </is>
      </c>
      <c r="D211" s="101" t="inlineStr">
        <is>
          <t>Ẩn dòng trống</t>
        </is>
      </c>
      <c r="E211" s="103" t="inlineStr">
        <is>
          <t>Ẩn dòng trống</t>
        </is>
      </c>
      <c r="F211" s="101" t="inlineStr">
        <is>
          <t>Hộp chọn vùng của Excel hiện ra (Chọn vùng dữ liệu). Quét chọn vùng cần soát, gồm đúng các cột có dữ liệu — ở đây biểu mẫu in sẵn 10 dòng nhưng chỉ dùng 5, dòng 9–13 để trống — rồi bấm OK. Giữ Ctrl để chọn thêm vùng rời.</t>
        </is>
      </c>
      <c r="G211" s="103" t="str">
        <f>HYPERLINK("https://dvdaddin.dvdpm.net/vi/commands/reference/btnHideEmptyRows","Mở hướng dẫn")</f>
        <v>Mở hướng dẫn</v>
      </c>
    </row>
    <row r="212">
      <c r="A212" s="102">
        <v>208</v>
      </c>
      <c r="B212" s="101" t="inlineStr">
        <is>
          <t>DVD Addin</t>
        </is>
      </c>
      <c r="C212" s="101" t="inlineStr">
        <is>
          <t>Hiển thị và Sheet</t>
        </is>
      </c>
      <c r="D212" s="101" t="inlineStr">
        <is>
          <t>Đặt lại Note</t>
        </is>
      </c>
      <c r="E212" s="104" t="inlineStr">
        <is>
          <t>— (không cần dữ liệu mẫu)</t>
        </is>
      </c>
      <c r="F212" s="101" t="inlineStr">
        <is>
          <t/>
        </is>
      </c>
      <c r="G212" s="103" t="str">
        <f>HYPERLINK("https://dvdaddin.dvdpm.net/vi/commands/reference/btnResetNote","Mở hướng dẫn")</f>
        <v>Mở hướng dẫn</v>
      </c>
    </row>
    <row r="213">
      <c r="A213" s="102">
        <v>209</v>
      </c>
      <c r="B213" s="101" t="inlineStr">
        <is>
          <t>DVD Addin</t>
        </is>
      </c>
      <c r="C213" s="101" t="inlineStr">
        <is>
          <t>Trợ lý AI</t>
        </is>
      </c>
      <c r="D213" s="101" t="inlineStr">
        <is>
          <t>Trợ lý AI</t>
        </is>
      </c>
      <c r="E213" s="104" t="inlineStr">
        <is>
          <t>— (không cần dữ liệu mẫu)</t>
        </is>
      </c>
      <c r="F213" s="101" t="inlineStr">
        <is>
          <t/>
        </is>
      </c>
      <c r="G213" s="103" t="str">
        <f>HYPERLINK("https://dvdaddin.dvdpm.net/vi/commands/reference/btnAIAssistant","Mở hướng dẫn")</f>
        <v>Mở hướng dẫn</v>
      </c>
    </row>
    <row r="214">
      <c r="A214" s="102">
        <v>210</v>
      </c>
      <c r="B214" s="101" t="inlineStr">
        <is>
          <t>DVD Addin</t>
        </is>
      </c>
      <c r="C214" s="101" t="inlineStr">
        <is>
          <t>Trợ lý AI</t>
        </is>
      </c>
      <c r="D214" s="101" t="inlineStr">
        <is>
          <t>Giải thích công thức (Coach)</t>
        </is>
      </c>
      <c r="E214" s="103" t="inlineStr">
        <is>
          <t>Giải thích công thức (Coach), NK đổ BT</t>
        </is>
      </c>
      <c r="F214" s="101" t="inlineStr">
        <is>
          <t>Chọn ô có công thức cần giải thích — ở đây là công thức SUMPRODUCT dùng các vùng đặt tên .</t>
        </is>
      </c>
      <c r="G214" s="103" t="str">
        <f>HYPERLINK("https://dvdaddin.dvdpm.net/vi/commands/reference/btnFormulaExplain","Mở hướng dẫn")</f>
        <v>Mở hướng dẫn</v>
      </c>
    </row>
    <row r="215">
      <c r="A215" s="102">
        <v>211</v>
      </c>
      <c r="B215" s="101" t="inlineStr">
        <is>
          <t>DVD Addin</t>
        </is>
      </c>
      <c r="C215" s="101" t="inlineStr">
        <is>
          <t>Trợ lý AI</t>
        </is>
      </c>
      <c r="D215" s="101" t="inlineStr">
        <is>
          <t>Sửa lỗi công thức</t>
        </is>
      </c>
      <c r="E215" s="103" t="inlineStr">
        <is>
          <t>Sửa lỗi công thức, DonGia</t>
        </is>
      </c>
      <c r="F215" s="101" t="inlineStr">
        <is>
          <t>Chọn một ô đang báo lỗi — ở đây VLOOKUP trả về #N/A .</t>
        </is>
      </c>
      <c r="G215" s="103" t="str">
        <f>HYPERLINK("https://dvdaddin.dvdpm.net/vi/commands/reference/btnFormulaFix","Mở hướng dẫn")</f>
        <v>Mở hướng dẫn</v>
      </c>
    </row>
    <row r="216">
      <c r="A216" s="102">
        <v>212</v>
      </c>
      <c r="B216" s="101" t="inlineStr">
        <is>
          <t>DVD Addin</t>
        </is>
      </c>
      <c r="C216" s="101" t="inlineStr">
        <is>
          <t>Trợ lý AI</t>
        </is>
      </c>
      <c r="D216" s="101" t="inlineStr">
        <is>
          <t>Ngữ pháp</t>
        </is>
      </c>
      <c r="E216" s="103" t="inlineStr">
        <is>
          <t>Ngữ pháp</t>
        </is>
      </c>
      <c r="F216" s="101" t="inlineStr">
        <is>
          <t>Bôi đen các ô chứa văn bản cần sửa chính tả, ngữ pháp — ô số, ô trống và ô công thức được bỏ qua.</t>
        </is>
      </c>
      <c r="G216" s="103" t="str">
        <f>HYPERLINK("https://dvdaddin.dvdpm.net/vi/commands/reference/btnAIGrammarly","Mở hướng dẫn")</f>
        <v>Mở hướng dẫn</v>
      </c>
    </row>
    <row r="217">
      <c r="A217" s="102">
        <v>213</v>
      </c>
      <c r="B217" s="101" t="inlineStr">
        <is>
          <t>DVD Addin</t>
        </is>
      </c>
      <c r="C217" s="101" t="inlineStr">
        <is>
          <t>Trợ lý AI</t>
        </is>
      </c>
      <c r="D217" s="101" t="inlineStr">
        <is>
          <t>Giải đề</t>
        </is>
      </c>
      <c r="E217" s="103" t="inlineStr">
        <is>
          <t>Giải đề</t>
        </is>
      </c>
      <c r="F217" s="101" t="inlineStr">
        <is>
          <t>Chọn ô sẽ nhận đáp án — lệnh ghi vào ô hiện hành.</t>
        </is>
      </c>
      <c r="G217" s="103" t="str">
        <f>HYPERLINK("https://dvdaddin.dvdpm.net/vi/commands/reference/btnAISolver","Mở hướng dẫn")</f>
        <v>Mở hướng dẫn</v>
      </c>
    </row>
    <row r="218">
      <c r="A218" s="102">
        <v>214</v>
      </c>
      <c r="B218" s="101" t="inlineStr">
        <is>
          <t>DVD Addin</t>
        </is>
      </c>
      <c r="C218" s="101" t="inlineStr">
        <is>
          <t>Trợ lý AI</t>
        </is>
      </c>
      <c r="D218" s="101" t="inlineStr">
        <is>
          <t>DVD Chat</t>
        </is>
      </c>
      <c r="E218" s="103" t="inlineStr">
        <is>
          <t>DVD Chat</t>
        </is>
      </c>
      <c r="F218" s="101" t="inlineStr">
        <is>
          <t>Muốn bàn đúng con số: chọn vùng trên sheet , bấm nút 📋 (Đính kèm ô / vùng Excel đang chọn) trong khung chat, viết lời nhắn rồi gửi — tin nhắn mang theo tham chiếu và dữ liệu của vùng đó.</t>
        </is>
      </c>
      <c r="G218" s="103" t="str">
        <f>HYPERLINK("https://dvdaddin.dvdpm.net/vi/commands/reference/btnDvdChat","Mở hướng dẫn")</f>
        <v>Mở hướng dẫn</v>
      </c>
    </row>
    <row r="219">
      <c r="A219" s="102">
        <v>215</v>
      </c>
      <c r="B219" s="101" t="inlineStr">
        <is>
          <t>DVD Addin</t>
        </is>
      </c>
      <c r="C219" s="101" t="inlineStr">
        <is>
          <t>Thông tin</t>
        </is>
      </c>
      <c r="D219" s="101" t="inlineStr">
        <is>
          <t>Ngôn ngữ: VI</t>
        </is>
      </c>
      <c r="E219" s="104" t="inlineStr">
        <is>
          <t>— (không cần dữ liệu mẫu)</t>
        </is>
      </c>
      <c r="F219" s="101" t="inlineStr">
        <is>
          <t/>
        </is>
      </c>
      <c r="G219" s="103" t="str">
        <f>HYPERLINK("https://dvdaddin.dvdpm.net/vi/commands/reference/btnSwitchLang","Mở hướng dẫn")</f>
        <v>Mở hướng dẫn</v>
      </c>
    </row>
    <row r="220">
      <c r="A220" s="102">
        <v>216</v>
      </c>
      <c r="B220" s="101" t="inlineStr">
        <is>
          <t>DVD Addin</t>
        </is>
      </c>
      <c r="C220" s="101" t="inlineStr">
        <is>
          <t>Thông tin</t>
        </is>
      </c>
      <c r="D220" s="101" t="inlineStr">
        <is>
          <t>Tùy chọn</t>
        </is>
      </c>
      <c r="E220" s="104" t="inlineStr">
        <is>
          <t>— (không cần dữ liệu mẫu)</t>
        </is>
      </c>
      <c r="F220" s="101" t="inlineStr">
        <is>
          <t/>
        </is>
      </c>
      <c r="G220" s="103" t="str">
        <f>HYPERLINK("https://dvdaddin.dvdpm.net/vi/commands/reference/btnPreferences","Mở hướng dẫn")</f>
        <v>Mở hướng dẫn</v>
      </c>
    </row>
    <row r="221">
      <c r="A221" s="102">
        <v>217</v>
      </c>
      <c r="B221" s="101" t="inlineStr">
        <is>
          <t>DVD Addin</t>
        </is>
      </c>
      <c r="C221" s="101" t="inlineStr">
        <is>
          <t>Thông tin</t>
        </is>
      </c>
      <c r="D221" s="101" t="inlineStr">
        <is>
          <t>Hướng dẫn nhanh</t>
        </is>
      </c>
      <c r="E221" s="104" t="inlineStr">
        <is>
          <t>— (không cần dữ liệu mẫu)</t>
        </is>
      </c>
      <c r="F221" s="101" t="inlineStr">
        <is>
          <t/>
        </is>
      </c>
      <c r="G221" s="103" t="str">
        <f>HYPERLINK("https://dvdaddin.dvdpm.net/vi/commands/reference/btnOnboarding","Mở hướng dẫn")</f>
        <v>Mở hướng dẫn</v>
      </c>
    </row>
    <row r="222">
      <c r="A222" s="102">
        <v>218</v>
      </c>
      <c r="B222" s="101" t="inlineStr">
        <is>
          <t>DVD Addin</t>
        </is>
      </c>
      <c r="C222" s="101" t="inlineStr">
        <is>
          <t>Thông tin</t>
        </is>
      </c>
      <c r="D222" s="101" t="inlineStr">
        <is>
          <t>Hướng dẫn sử dụng</t>
        </is>
      </c>
      <c r="E222" s="104" t="inlineStr">
        <is>
          <t>— (không cần dữ liệu mẫu)</t>
        </is>
      </c>
      <c r="F222" s="101" t="inlineStr">
        <is>
          <t/>
        </is>
      </c>
      <c r="G222" s="103" t="str">
        <f>HYPERLINK("https://dvdaddin.dvdpm.net/vi/commands/reference/btnUserGuide","Mở hướng dẫn")</f>
        <v>Mở hướng dẫn</v>
      </c>
    </row>
    <row r="223">
      <c r="A223" s="102">
        <v>219</v>
      </c>
      <c r="B223" s="101" t="inlineStr">
        <is>
          <t>DVD Addin</t>
        </is>
      </c>
      <c r="C223" s="101" t="inlineStr">
        <is>
          <t>Thông tin</t>
        </is>
      </c>
      <c r="D223" s="101" t="inlineStr">
        <is>
          <t>Khôi phục dữ liệu</t>
        </is>
      </c>
      <c r="E223" s="104" t="inlineStr">
        <is>
          <t>— (không cần dữ liệu mẫu)</t>
        </is>
      </c>
      <c r="F223" s="101" t="inlineStr">
        <is>
          <t/>
        </is>
      </c>
      <c r="G223" s="103" t="str">
        <f>HYPERLINK("https://dvdaddin.dvdpm.net/vi/commands/reference/btnRestoreBackup","Mở hướng dẫn")</f>
        <v>Mở hướng dẫn</v>
      </c>
    </row>
    <row r="224">
      <c r="A224" s="102">
        <v>220</v>
      </c>
      <c r="B224" s="101" t="inlineStr">
        <is>
          <t>DVD Addin</t>
        </is>
      </c>
      <c r="C224" s="101" t="inlineStr">
        <is>
          <t>Thông tin</t>
        </is>
      </c>
      <c r="D224" s="101" t="inlineStr">
        <is>
          <t>Kiểm tra cập nhật</t>
        </is>
      </c>
      <c r="E224" s="104" t="inlineStr">
        <is>
          <t>— (không cần dữ liệu mẫu)</t>
        </is>
      </c>
      <c r="F224" s="101" t="inlineStr">
        <is>
          <t/>
        </is>
      </c>
      <c r="G224" s="103" t="str">
        <f>HYPERLINK("https://dvdaddin.dvdpm.net/vi/commands/reference/btnCheckUpdate","Mở hướng dẫn")</f>
        <v>Mở hướng dẫn</v>
      </c>
    </row>
    <row r="225">
      <c r="A225" s="102">
        <v>221</v>
      </c>
      <c r="B225" s="101" t="inlineStr">
        <is>
          <t>DVD Addin</t>
        </is>
      </c>
      <c r="C225" s="101" t="inlineStr">
        <is>
          <t>Thông tin</t>
        </is>
      </c>
      <c r="D225" s="101" t="inlineStr">
        <is>
          <t>Tải Tool</t>
        </is>
      </c>
      <c r="E225" s="104" t="inlineStr">
        <is>
          <t>— (không cần dữ liệu mẫu)</t>
        </is>
      </c>
      <c r="F225" s="101" t="inlineStr">
        <is>
          <t/>
        </is>
      </c>
      <c r="G225" s="103" t="str">
        <f>HYPERLINK("https://dvdaddin.dvdpm.net/vi/commands/reference/btnDownloadTool","Mở hướng dẫn")</f>
        <v>Mở hướng dẫn</v>
      </c>
    </row>
    <row r="226">
      <c r="A226" s="102">
        <v>222</v>
      </c>
      <c r="B226" s="101" t="inlineStr">
        <is>
          <t>DVD Addin</t>
        </is>
      </c>
      <c r="C226" s="101" t="inlineStr">
        <is>
          <t>Thông tin</t>
        </is>
      </c>
      <c r="D226" s="101" t="inlineStr">
        <is>
          <t>Xuất nhật ký hỗ trợ</t>
        </is>
      </c>
      <c r="E226" s="104" t="inlineStr">
        <is>
          <t>— (không cần dữ liệu mẫu)</t>
        </is>
      </c>
      <c r="F226" s="101" t="inlineStr">
        <is>
          <t/>
        </is>
      </c>
      <c r="G226" s="103" t="str">
        <f>HYPERLINK("https://dvdaddin.dvdpm.net/vi/commands/reference/btnExportSupportLog","Mở hướng dẫn")</f>
        <v>Mở hướng dẫn</v>
      </c>
    </row>
    <row r="227">
      <c r="A227" s="102">
        <v>223</v>
      </c>
      <c r="B227" s="101" t="inlineStr">
        <is>
          <t>DVD Addin</t>
        </is>
      </c>
      <c r="C227" s="101" t="inlineStr">
        <is>
          <t>Thông tin</t>
        </is>
      </c>
      <c r="D227" s="101" t="inlineStr">
        <is>
          <t>Giới thiệu</t>
        </is>
      </c>
      <c r="E227" s="104" t="inlineStr">
        <is>
          <t>— (không cần dữ liệu mẫu)</t>
        </is>
      </c>
      <c r="F227" s="101" t="inlineStr">
        <is>
          <t/>
        </is>
      </c>
      <c r="G227" s="103" t="str">
        <f>HYPERLINK("https://dvdaddin.dvdpm.net/vi/commands/reference/btnAbout","Mở hướng dẫn")</f>
        <v>Mở hướng dẫn</v>
      </c>
    </row>
    <row r="228">
      <c r="A228" s="102">
        <v>224</v>
      </c>
      <c r="B228" s="101" t="inlineStr">
        <is>
          <t>DVD Addin</t>
        </is>
      </c>
      <c r="C228" s="101" t="inlineStr">
        <is>
          <t>Thông tin</t>
        </is>
      </c>
      <c r="D228" s="101" t="inlineStr">
        <is>
          <t>Bản quyền</t>
        </is>
      </c>
      <c r="E228" s="104" t="inlineStr">
        <is>
          <t>— (không cần dữ liệu mẫu)</t>
        </is>
      </c>
      <c r="F228" s="101" t="inlineStr">
        <is>
          <t/>
        </is>
      </c>
      <c r="G228" s="103" t="str">
        <f>HYPERLINK("https://dvdaddin.dvdpm.net/vi/commands/reference/btnupdatekey","Mở hướng dẫn")</f>
        <v>Mở hướng dẫn</v>
      </c>
    </row>
  </sheetData>
  <mergeCells count="1">
    <mergeCell ref="A2:G2"/>
  </mergeCells>
  <hyperlinks>
    <hyperlink ref="E5" location="'Vẽ tiến độ'!A1" display="Vẽ tiến độ"/>
    <hyperlink ref="E6" location="'Tự động tính'!A1" display="Tự động tính"/>
    <hyperlink ref="E7" location="'Tự động vẽ'!A1" display="Tự động vẽ"/>
    <hyperlink ref="E8" location="'Cập nhật tiến độ (ngày dữ liệu)'!A1" display="Cập nhật tiến độ (ngày dữ liệu)"/>
    <hyperlink ref="E9" location="'Cập nhật trạng thái'!A1" display="Cập nhật trạng thái"/>
    <hyperlink ref="E12" location="'Ràng buộc'!A1" display="Ràng buộc"/>
    <hyperlink ref="E13" location="'Ngôn ngữ tiêu đề'!A1" display="Ngôn ngữ tiêu đề"/>
    <hyperlink ref="E14" location="'Xuất XML (P6-MSP)'!A1" display="Xuất XML (P6-MSP)"/>
    <hyperlink ref="E17" location="'AI Lập tiến độ'!A1" display="AI Lập tiến độ"/>
    <hyperlink ref="E18" location="'Đề xuất tiến độ'!A1" display="Đề xuất tiến độ"/>
    <hyperlink ref="E19" location="'Kiểm tra chất lượng'!A1" display="Kiểm tra chất lượng"/>
    <hyperlink ref="E20" location="'Báo cáo EVM'!A1" display="Báo cáo EVM"/>
    <hyperlink ref="E21" location="'Bảng chênh lệch tiến độ'!A1" display="Bảng chênh lệch tiến độ"/>
    <hyperlink ref="E22" location="'Kế hoạch 2 tuần tới'!A1" display="Kế hoạch 2 tuần tới"/>
    <hyperlink ref="E23" location="'Kế hoạch 3 tuần tới'!A1" display="Kế hoạch 3 tuần tới"/>
    <hyperlink ref="E24" location="'Sinh tiến độ (khoảng tùy chọn)'!A1" display="Sinh tiến độ (khoảng tùy chọn)"/>
    <hyperlink ref="E26" location="'Snapshot tuần'!A1" display="Snapshot tuần"/>
    <hyperlink ref="E28" location="'Nhân lực'!A1" display="Nhân lực"/>
    <hyperlink ref="E29" location="'Cân bằng nhân lực'!A1" display="Cân bằng nhân lực"/>
    <hyperlink ref="E30" location="'Dòng tiền'!A1" display="Dòng tiền"/>
    <hyperlink ref="E31" location="'Cắt tối ưu'!A1" display="Cắt tối ưu"/>
    <hyperlink ref="E33" location="'Thống kê thép'!A1" display="Thống kê thép"/>
    <hyperlink ref="E34" location="'Cắt thanh 1D'!A1" display="Cắt thanh 1D, Cắt thanh 1D · CatThanh_Thanh"/>
    <hyperlink ref="E35" location="'Cắt tấm 2D'!A1" display="Cắt tấm 2D, Cắt tấm 2D · CatTam_Tam"/>
    <hyperlink ref="E36" location="'Mẫu Cắt thép'!A1" display="Mẫu Cắt thép"/>
    <hyperlink ref="E37" location="'Mẫu Cắt thanh'!A1" display="Mẫu Cắt thanh"/>
    <hyperlink ref="E38" location="'Mẫu Cắt tấm'!A1" display="Mẫu Cắt tấm"/>
    <hyperlink ref="E39" location="'Tạo Nhật ký'!A1" display="Tạo Nhật ký"/>
    <hyperlink ref="E40" location="'Xuất danh mục'!A1" display="Xuất danh mục"/>
    <hyperlink ref="E41" location="'Chọn ngày nghỉ'!A1" display="Chọn ngày nghỉ"/>
    <hyperlink ref="E42" location="'Mẫu NT công việc'!A1" display="Mẫu NT công việc"/>
    <hyperlink ref="E43" location="'Mẫu NT vật liệu'!A1" display="Mẫu NT vật liệu"/>
    <hyperlink ref="E44" location="'Mẫu Nhật ký'!A1" display="Mẫu Nhật ký, DATA"/>
    <hyperlink ref="E45" location="'Kế hoạch TN'!A1" display="Kế hoạch TN"/>
    <hyperlink ref="E46" location="'Kế hoạch NT'!A1" display="Kế hoạch NT"/>
    <hyperlink ref="E47" location="'Biên bản NT'!A1" display="Biên bản NT"/>
    <hyperlink ref="E51" location="'AI Báo giá XD'!A1" display="AI Báo giá XD"/>
    <hyperlink ref="E52" location="'Thanh toán theo kỳ'!A1" display="Thanh toán theo kỳ"/>
    <hyperlink ref="E53" location="'So sánh BoQ'!A1" display="So sánh BoQ"/>
    <hyperlink ref="E54" location="'Bù giá'!A1" display="Bù giá"/>
    <hyperlink ref="E55" location="'Cầu nối dự toán'!A1" display="Cầu nối dự toán"/>
    <hyperlink ref="E58" location="'Truy vấn dữ liệu'!A1" display="Truy vấn dữ liệu"/>
    <hyperlink ref="E59" location="'Sổ phát sinh'!A1" display="Sổ phát sinh"/>
    <hyperlink ref="E62" location="'Gửi Định dạng'!A1" display="Gửi Định dạng"/>
    <hyperlink ref="E65" location="'Đánh số'!A1" display="Đánh số"/>
    <hyperlink ref="E66" location="'Số La Mã'!A1" display="Số La Mã"/>
    <hyperlink ref="E67" location="'Chữ HOA'!A1" display="Chữ HOA"/>
    <hyperlink ref="E68" location="'Chữ thường'!A1" display="Chữ thường"/>
    <hyperlink ref="E69" location="'Đánh Level'!A1" display="Đánh Level"/>
    <hyperlink ref="E70" location="'Chấm tròn đặc'!A1" display="Chấm tròn đặc"/>
    <hyperlink ref="E71" location="'Sao đặc'!A1" display="Sao đặc"/>
    <hyperlink ref="E72" location="'Gạch ngang'!A1" display="Gạch ngang"/>
    <hyperlink ref="E73" location="'Kim cương đặc'!A1" display="Kim cương đặc"/>
    <hyperlink ref="E74" location="'Dấu cộng'!A1" display="Dấu cộng"/>
    <hyperlink ref="E75" location="'Hoa thị'!A1" display="Hoa thị"/>
    <hyperlink ref="E76" location="'Checkbox'!A1" display="Checkbox"/>
    <hyperlink ref="E77" location="'Đã tích'!A1" display="Đã tích"/>
    <hyperlink ref="E78" location="'Loại'!A1" display="Loại"/>
    <hyperlink ref="E79" location="'Bỏ ký hiệu đầu dòng'!A1" display="Bỏ ký hiệu đầu dòng"/>
    <hyperlink ref="E80" location="'Danh sách số'!A1" display="Danh sách số"/>
    <hyperlink ref="E81" location="'Danh sách La Mã'!A1" display="Danh sách La Mã"/>
    <hyperlink ref="E82" location="'Danh sách HOA'!A1" display="Danh sách HOA"/>
    <hyperlink ref="E83" location="'Danh sách thường'!A1" display="Danh sách thường"/>
    <hyperlink ref="E84" location="'Bỏ đánh số danh sách'!A1" display="Bỏ đánh số danh sách"/>
    <hyperlink ref="E85" location="'Đa cấp 1.1.1'!A1" display="Đa cấp 1.1.1"/>
    <hyperlink ref="E86" location="'Bỏ đánh số đa cấp'!A1" display="Bỏ đánh số đa cấp"/>
    <hyperlink ref="E87" location="'Hoa đầu câu'!A1" display="Hoa đầu câu"/>
    <hyperlink ref="E88" location="'HOA TOÀN BỘ'!A1" display="HOA TOÀN BỘ"/>
    <hyperlink ref="E89" location="'thường toàn bộ'!A1" display="thường toàn bộ"/>
    <hyperlink ref="E90" location="'Hoa Đầu Mỗi Từ'!A1" display="Hoa Đầu Mỗi Từ"/>
    <hyperlink ref="E91" location="'Hoa theo ngữ cảnh (AI)'!A1" display="Hoa theo ngữ cảnh (AI)"/>
    <hyperlink ref="E92" location="'In nghiêng'!A1" display="In nghiêng"/>
    <hyperlink ref="E93" location="'Đảo ngược'!A1" display="Đảo ngược"/>
    <hyperlink ref="E94" location="'Đổi Font'!A1" display="Đổi Font"/>
    <hyperlink ref="E95" location="'Xoá space thừa'!A1" display="Xoá space thừa"/>
    <hyperlink ref="E96" location="'Chèn text'!A1" display="Chèn text"/>
    <hyperlink ref="E97" location="'Xoá dấu'!A1" display="Xoá dấu"/>
    <hyperlink ref="E98" location="'Thêm dấu (AI)'!A1" display="Thêm dấu (AI)"/>
    <hyperlink ref="E99" location="'Auto format số-ngày'!A1" display="Auto format số-ngày"/>
    <hyperlink ref="E100" location="'Superscript m²'!A1" display="Superscript m²"/>
    <hyperlink ref="E101" location="'Subscript H₂O'!A1" display="Subscript H₂O"/>
    <hyperlink ref="E102" location="'Tìm - Thay hàng loạt…'!A1" display="Tìm - Thay hàng loạt…"/>
    <hyperlink ref="E103" location="'Dọn dữ liệu thông minh…'!A1" display="Dọn dữ liệu thông minh…"/>
    <hyperlink ref="E104" location="'Chuyển mã'!A1" display="Chuyển mã"/>
    <hyperlink ref="E105" location="'Sang Unicode'!A1" display="Sang Unicode"/>
    <hyperlink ref="E106" location="'Sang VNI'!A1" display="Sang VNI"/>
    <hyperlink ref="E107" location="'Sang TCVN3'!A1" display="Sang TCVN3"/>
    <hyperlink ref="E108" location="'Dịch ngôn ngữ'!A1" display="Dịch ngôn ngữ"/>
    <hyperlink ref="E109" location="'Nhập nhanh'!A1" display="Nhập nhanh"/>
    <hyperlink ref="E110" location="'Tự động hiện gợi ý'!A1" display="Tự động hiện gợi ý"/>
    <hyperlink ref="E111" location="'Cài đặt nguồn dữ liệu…'!A1" display="Cài đặt nguồn dữ liệu…"/>
    <hyperlink ref="E112" location="'Chèn dòng'!A1" display="Chèn dòng"/>
    <hyperlink ref="E113" location="'Chèn cột'!A1" display="Chèn cột"/>
    <hyperlink ref="E114" location="'Chèn và Sao chép'!A1" display="Chèn và Sao chép"/>
    <hyperlink ref="E115" location="'Xoá dòng trống'!A1" display="Xoá dòng trống"/>
    <hyperlink ref="E116" location="'Xoá dòng ẩn'!A1" display="Xoá dòng ẩn"/>
    <hyperlink ref="E117" location="'Xoá format không dùng'!A1" display="Xoá format không dùng"/>
    <hyperlink ref="E120" location="'Gộp giữ data'!A1" display="Gộp giữ data"/>
    <hyperlink ref="E121" location="'Gộp ô giống nhau'!A1" display="Gộp ô giống nhau"/>
    <hyperlink ref="E122" location="'Gộp dòng theo key'!A1" display="Gộp dòng theo key"/>
    <hyperlink ref="E123" location="'Tự nhóm theo cấp'!A1" display="Tự nhóm theo cấp"/>
    <hyperlink ref="E124" location="'AutoFit gộp ô'!A1" display="AutoFit gộp ô"/>
    <hyperlink ref="E125" location="'Chọn ô hiện'!A1" display="Chọn ô hiện"/>
    <hyperlink ref="E126" location="'Copy-Paste hiện'!A1" display="Copy-Paste hiện"/>
    <hyperlink ref="E127" location="'Nối chuỗi'!A1" display="Nối chuỗi"/>
    <hyperlink ref="E128" location="'Nối ô gộp'!A1" display="Nối ô gộp"/>
    <hyperlink ref="E129" location="'Xem công thức'!A1" display="Xem công thức, KL Tang 4, KL Tang 5"/>
    <hyperlink ref="E130" location="'Truy vết Lookup'!A1" display="Truy vết Lookup, DON GIA"/>
    <hyperlink ref="E131" location="'Ô phụ thuộc'!A1" display="Ô phụ thuộc"/>
    <hyperlink ref="E132" location="'Tự động tổng'!A1" display="Tự động tổng"/>
    <hyperlink ref="E133" location="'Điền kết quả'!A1" display="Điền kết quả"/>
    <hyperlink ref="E134" location="'Tham chiếu'!A1" display="Tham chiếu, DON GIA (2)"/>
    <hyperlink ref="E135" location="'Hàm làm tròn'!A1" display="Hàm làm tròn"/>
    <hyperlink ref="E136" location="'Khóa tham chiếu'!A1" display="Khóa tham chiếu, BANGTHEP"/>
    <hyperlink ref="E137" location="'Kiểm tra lỗi'!A1" display="Kiểm tra lỗi"/>
    <hyperlink ref="E138" location="'Tô màu Shape'!A1" display="Tô màu Shape"/>
    <hyperlink ref="E139" location="'Vẽ hình chữ nhật màu'!A1" display="Vẽ hình chữ nhật màu"/>
    <hyperlink ref="E140" location="'Danh sách shape'!A1" display="Danh sách shape"/>
    <hyperlink ref="E141" location="'Đổi tên Shape'!A1" display="Đổi tên Shape"/>
    <hyperlink ref="E143" location="'Lấy vị trí'!A1" display="Lấy vị trí"/>
    <hyperlink ref="E144" location="'Gắn nhãn liên kết'!A1" display="Gắn nhãn liên kết"/>
    <hyperlink ref="E149" location="'Tiến độ mặt bằng'!A1" display="Tiến độ mặt bằng"/>
    <hyperlink ref="E150" location="'Lấy mã màu'!A1" display="Lấy mã màu"/>
    <hyperlink ref="E151" location="'Auto Click'!A1" display="Auto Click"/>
    <hyperlink ref="E152" location="'Chèn ảnh'!A1" display="Chèn ảnh"/>
    <hyperlink ref="E153" location="'Chèn theo tên'!A1" display="Chèn theo tên"/>
    <hyperlink ref="E154" location="'Comment ảnh'!A1" display="Comment ảnh"/>
    <hyperlink ref="E155" location="'Comment theo tên'!A1" display="Comment theo tên"/>
    <hyperlink ref="E156" location="'Chỉnh ảnh'!A1" display="Chỉnh ảnh"/>
    <hyperlink ref="E157" location="'Chụp và Ghi chú'!A1" display="Chụp và Ghi chú"/>
    <hyperlink ref="E159" location="'Mây đa giác'!A1" display="Mây đa giác"/>
    <hyperlink ref="E160" location="'Mây quanh vùng chọn'!A1" display="Mây quanh vùng chọn"/>
    <hyperlink ref="E167" location="'Danh sách tên file'!A1" display="Danh sách tên file"/>
    <hyperlink ref="E169" location="'Tách bảng'!A1" display="Tách bảng"/>
    <hyperlink ref="E170" location="'So sánh sheet'!A1" display="So sánh sheet"/>
    <hyperlink ref="E171" location="'Trộn bảng'!A1" display="Trộn bảng, Đơn giá"/>
    <hyperlink ref="E172" location="'Đổi tên file'!A1" display="Đổi tên file"/>
    <hyperlink ref="E174" location="'Tạo Hyperlink'!A1" display="Tạo Hyperlink"/>
    <hyperlink ref="E176" location="'Tạo Folder'!A1" display="Tạo Folder"/>
    <hyperlink ref="E180" location="'Chuyển âm thanh'!A1" display="Chuyển âm thanh"/>
    <hyperlink ref="E187" location="'OCR file'!A1" display="OCR file"/>
    <hyperlink ref="E188" location="'Trích bảng'!A1" display="Trích bảng"/>
    <hyperlink ref="E189" location="'OCR Screen Clip'!A1" display="OCR Screen Clip"/>
    <hyperlink ref="E190" location="'In hàng loạt'!A1" display="In hàng loạt"/>
    <hyperlink ref="E191" location="'Đặt lề trang'!A1" display="Đặt lề trang"/>
    <hyperlink ref="E195" location="'Sheet → PDF'!A1" display="Sheet → PDF"/>
    <hyperlink ref="E196" location="'Gửi Email'!A1" display="Gửi Email"/>
    <hyperlink ref="E198" location="'Mẫu Email'!A1" display="Mẫu Email"/>
    <hyperlink ref="E199" location="'Trộn sang Word'!A1" display="Trộn sang Word"/>
    <hyperlink ref="E200" location="'Tạo tiêu đề'!A1" display="Tạo tiêu đề"/>
    <hyperlink ref="E201" location="'Nổi bật hàng cột'!A1" display="Nổi bật hàng cột"/>
    <hyperlink ref="E202" location="'Danh sách Sheet'!A1" display="Danh sách Sheet"/>
    <hyperlink ref="E203" location="'Đổi tên Sheet'!A1" display="Đổi tên Sheet"/>
    <hyperlink ref="E204" location="'Đánh số Sheet'!A1" display="Đánh số Sheet"/>
    <hyperlink ref="E205" location="'Bỏ dấu Sheet'!A1" display="Bỏ dấu Sheet, Khối lượng móng, Đài móng - Cọc, Nghiệm thu thép, Phụ lục 01"/>
    <hyperlink ref="E206" location="'Ẩn Sheet khác'!A1" display="Ẩn Sheet khác, KL-Mong, KL-Than, DonGia-NoiBo, Chietinh, Phuluc, Nhap1"/>
    <hyperlink ref="E207" location="'Hiện tất cả'!A1" display="Hiện tất cả, Chietinh-VT, Giavatlieu, DonGia-CT, KL, Phuluc (2)"/>
    <hyperlink ref="E210" location="'Xem ảnh'!A1" display="Xem ảnh"/>
    <hyperlink ref="E211" location="'Ẩn dòng trống'!A1" display="Ẩn dòng trống"/>
    <hyperlink ref="E214" location="'Giải thích công thức (Coach)'!A1" display="Giải thích công thức (Coach), NK đổ BT"/>
    <hyperlink ref="E215" location="'Sửa lỗi công thức'!A1" display="Sửa lỗi công thức, DonGia"/>
    <hyperlink ref="E216" location="'Ngữ pháp'!A1" display="Ngữ pháp"/>
    <hyperlink ref="E217" location="'Giải đề'!A1" display="Giải đề"/>
    <hyperlink ref="E218" location="'DVD Chat'!A1" display="DVD Chat"/>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9"/>
  <sheetViews>
    <sheetView workbookViewId="0">
      <selection activeCell="B9" sqref="B9"/>
    </sheetView>
  </sheetViews>
  <sheetFormatPr defaultRowHeight="15"/>
  <cols>
    <col min="1" max="1" width="9.00" customWidth="1"/>
    <col min="2" max="2" width="24.00" customWidth="1"/>
    <col min="3" max="3" width="8.00" customWidth="1"/>
    <col min="4" max="4" width="10.00" customWidth="1"/>
    <col min="5" max="5" width="10.00" customWidth="1"/>
    <col min="6" max="6" width="8.40" customWidth="1"/>
    <col min="7" max="7" width="8.40" customWidth="1"/>
    <col min="9" max="9" width="12.00" customWidth="1"/>
  </cols>
  <sheetData>
    <row r="1">
      <c r="A1" s="1" t="inlineStr">
        <is>
          <t>TIẾN ĐỘ THI CÔNG PHẦN MÓNG – NHÀ VĂN PHÒNG 9 TẦNG</t>
        </is>
      </c>
      <c r="I1" s="105" t="inlineStr">
        <is>
          <t>← Mục lục</t>
        </is>
      </c>
    </row>
    <row r="2">
      <c r="A2" s="2" t="inlineStr">
        <is>
          <t>Mã công tác</t>
        </is>
      </c>
      <c r="B2" s="3" t="inlineStr">
        <is>
          <t>Tên công tác</t>
        </is>
      </c>
      <c r="C2" s="2" t="inlineStr">
        <is>
          <t>Thời lượng</t>
        </is>
      </c>
      <c r="D2" s="3" t="inlineStr">
        <is>
          <t>Bắt đầu</t>
        </is>
      </c>
      <c r="E2" s="3" t="inlineStr">
        <is>
          <t>Kết thúc</t>
        </is>
      </c>
    </row>
    <row r="3">
      <c r="A3" s="4"/>
      <c r="B3" s="4"/>
      <c r="C3" s="4"/>
      <c r="D3" s="4"/>
      <c r="E3" s="4"/>
    </row>
    <row r="4">
      <c r="A4" s="4" t="inlineStr">
        <is>
          <t>A1010</t>
        </is>
      </c>
      <c r="B4" s="4" t="inlineStr">
        <is>
          <t>Đào đất hố móng</t>
        </is>
      </c>
      <c r="C4" s="4">
        <v>6</v>
      </c>
      <c r="D4" s="5">
        <v>46300</v>
      </c>
      <c r="E4" s="5">
        <v>46305</v>
      </c>
    </row>
    <row r="5">
      <c r="A5" s="4" t="inlineStr">
        <is>
          <t>A1020</t>
        </is>
      </c>
      <c r="B5" s="4" t="inlineStr">
        <is>
          <t>Đổ bê tông lót móng</t>
        </is>
      </c>
      <c r="C5" s="4">
        <v>2</v>
      </c>
      <c r="D5" s="5">
        <v>46307</v>
      </c>
      <c r="E5" s="5">
        <v>46308</v>
      </c>
    </row>
    <row r="6">
      <c r="A6" s="4" t="inlineStr">
        <is>
          <t>A1030</t>
        </is>
      </c>
      <c r="B6" s="4" t="inlineStr">
        <is>
          <t>Cốt thép, ván khuôn đài móng</t>
        </is>
      </c>
      <c r="C6" s="4">
        <v>8</v>
      </c>
      <c r="D6" s="5">
        <v>46309</v>
      </c>
      <c r="E6" s="5">
        <v>46317</v>
      </c>
    </row>
    <row r="7">
      <c r="A7" s="4" t="inlineStr">
        <is>
          <t>A1040</t>
        </is>
      </c>
      <c r="B7" s="4" t="inlineStr">
        <is>
          <t>Bê tông đài, giằng móng</t>
        </is>
      </c>
      <c r="C7" s="4">
        <v>2</v>
      </c>
      <c r="D7" s="5">
        <v>46318</v>
      </c>
      <c r="E7" s="5">
        <v>46319</v>
      </c>
    </row>
    <row r="8">
      <c r="A8" s="4" t="inlineStr">
        <is>
          <t>A1050</t>
        </is>
      </c>
      <c r="B8" s="4" t="inlineStr">
        <is>
          <t>Lấp đất, tôn nền tầng 1</t>
        </is>
      </c>
      <c r="C8" s="4">
        <v>6</v>
      </c>
      <c r="D8" s="5">
        <v>46321</v>
      </c>
      <c r="E8" s="5">
        <v>46326</v>
      </c>
    </row>
    <row r="9">
      <c r="A9" s="4" t="inlineStr">
        <is>
          <t>A1060</t>
        </is>
      </c>
      <c r="B9" s="4" t="inlineStr">
        <is>
          <t>Nghiệm thu phần móng</t>
        </is>
      </c>
      <c r="C9" s="4">
        <v>0</v>
      </c>
      <c r="D9" s="4"/>
      <c r="E9" s="5">
        <v>46328</v>
      </c>
    </row>
  </sheetData>
  <mergeCells count="6">
    <mergeCell ref="A1:E1"/>
    <mergeCell ref="A2:A3"/>
    <mergeCell ref="B2:B3"/>
    <mergeCell ref="C2:C3"/>
    <mergeCell ref="D2:D3"/>
    <mergeCell ref="E2:E3"/>
  </mergeCells>
  <hyperlinks>
    <hyperlink ref="I1" location="'Mục lục'!A5" display="← Mục lục"/>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7"/>
  <sheetViews>
    <sheetView workbookViewId="0">
      <selection activeCell="C2" sqref="C2"/>
    </sheetView>
  </sheetViews>
  <sheetFormatPr defaultRowHeight="15"/>
  <cols>
    <col min="1" max="1" width="9.00" customWidth="1"/>
    <col min="2" max="2" width="26.00" customWidth="1"/>
    <col min="3" max="3" width="8.00" customWidth="1"/>
    <col min="4" max="4" width="11.00" customWidth="1"/>
    <col min="5" max="5" width="11.00" customWidth="1"/>
    <col min="6" max="6" width="11.00" customWidth="1"/>
    <col min="8" max="8" width="12.00" customWidth="1"/>
  </cols>
  <sheetData>
    <row r="1" ht="28.50" customHeight="1">
      <c r="A1" s="2" t="inlineStr">
        <is>
          <t>Mã công tác</t>
        </is>
      </c>
      <c r="B1" s="2" t="inlineStr">
        <is>
          <t>Tên công tác</t>
        </is>
      </c>
      <c r="C1" s="2" t="inlineStr">
        <is>
          <t>Thời lượng</t>
        </is>
      </c>
      <c r="D1" s="2" t="inlineStr">
        <is>
          <t>Bắt đầu</t>
        </is>
      </c>
      <c r="E1" s="2" t="inlineStr">
        <is>
          <t>Kết thúc</t>
        </is>
      </c>
      <c r="F1" s="2" t="inlineStr">
        <is>
          <t>Công tác trước</t>
        </is>
      </c>
      <c r="H1" s="105" t="inlineStr">
        <is>
          <t>← Mục lục</t>
        </is>
      </c>
    </row>
    <row r="2">
      <c r="A2" s="4" t="inlineStr">
        <is>
          <t>A1010</t>
        </is>
      </c>
      <c r="B2" s="4" t="inlineStr">
        <is>
          <t>Đào đất hố móng</t>
        </is>
      </c>
      <c r="C2" s="4">
        <v>4</v>
      </c>
      <c r="D2" s="5">
        <v>46300</v>
      </c>
      <c r="E2" s="5">
        <v>46305</v>
      </c>
      <c r="F2" s="4"/>
    </row>
    <row r="3">
      <c r="A3" s="4" t="inlineStr">
        <is>
          <t>A1020</t>
        </is>
      </c>
      <c r="B3" s="4" t="inlineStr">
        <is>
          <t>Đổ bê tông lót móng</t>
        </is>
      </c>
      <c r="C3" s="4">
        <v>2</v>
      </c>
      <c r="D3" s="5">
        <v>46307</v>
      </c>
      <c r="E3" s="5">
        <v>46308</v>
      </c>
      <c r="F3" s="6" t="inlineStr">
        <is>
          <t>A1010FS</t>
        </is>
      </c>
    </row>
    <row r="4">
      <c r="A4" s="4" t="inlineStr">
        <is>
          <t>A1030</t>
        </is>
      </c>
      <c r="B4" s="4" t="inlineStr">
        <is>
          <t>Cốt thép, ván khuôn đài móng</t>
        </is>
      </c>
      <c r="C4" s="4">
        <v>8</v>
      </c>
      <c r="D4" s="5">
        <v>46309</v>
      </c>
      <c r="E4" s="5">
        <v>46317</v>
      </c>
      <c r="F4" s="6" t="inlineStr">
        <is>
          <t>A1020FS</t>
        </is>
      </c>
    </row>
    <row r="5">
      <c r="A5" s="4" t="inlineStr">
        <is>
          <t>A1040</t>
        </is>
      </c>
      <c r="B5" s="4" t="inlineStr">
        <is>
          <t>Bê tông đài, giằng móng</t>
        </is>
      </c>
      <c r="C5" s="4">
        <v>2</v>
      </c>
      <c r="D5" s="5">
        <v>46318</v>
      </c>
      <c r="E5" s="5">
        <v>46319</v>
      </c>
      <c r="F5" s="6" t="inlineStr">
        <is>
          <t>A1030FS</t>
        </is>
      </c>
    </row>
    <row r="6">
      <c r="A6" s="4" t="inlineStr">
        <is>
          <t>A1050</t>
        </is>
      </c>
      <c r="B6" s="4" t="inlineStr">
        <is>
          <t>Lấp đất, tôn nền tầng 1</t>
        </is>
      </c>
      <c r="C6" s="4">
        <v>6</v>
      </c>
      <c r="D6" s="5">
        <v>46321</v>
      </c>
      <c r="E6" s="5">
        <v>46326</v>
      </c>
      <c r="F6" s="6" t="inlineStr">
        <is>
          <t>A1040FS</t>
        </is>
      </c>
    </row>
    <row r="7">
      <c r="A7" s="4" t="inlineStr">
        <is>
          <t>A1060</t>
        </is>
      </c>
      <c r="B7" s="4" t="inlineStr">
        <is>
          <t>Nghiệm thu phần móng</t>
        </is>
      </c>
      <c r="C7" s="4">
        <v>0</v>
      </c>
      <c r="D7" s="4"/>
      <c r="E7" s="5">
        <v>46328</v>
      </c>
      <c r="F7" s="6" t="inlineStr">
        <is>
          <t>A1050FS</t>
        </is>
      </c>
    </row>
  </sheetData>
  <hyperlinks>
    <hyperlink ref="H1" location="'Mục lục'!A6" display="← Mục lục"/>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9"/>
  <sheetViews>
    <sheetView workbookViewId="0">
      <selection activeCell="C4" sqref="C4"/>
    </sheetView>
  </sheetViews>
  <sheetFormatPr defaultRowHeight="15"/>
  <cols>
    <col min="1" max="1" width="9.00" customWidth="1"/>
    <col min="2" max="2" width="24.00" customWidth="1"/>
    <col min="3" max="3" width="8.00" customWidth="1"/>
    <col min="4" max="4" width="10.00" customWidth="1"/>
    <col min="5" max="5" width="10.00" customWidth="1"/>
    <col min="6" max="6" width="7.00" customWidth="1"/>
    <col min="7" max="7" width="7.00" customWidth="1"/>
    <col min="8" max="8" width="7.00" customWidth="1"/>
    <col min="9" max="9" width="7.00" customWidth="1"/>
    <col min="10" max="10" width="7.00" customWidth="1"/>
    <col min="11" max="11" width="7.00" customWidth="1"/>
    <col min="12" max="12" width="7.00" customWidth="1"/>
    <col min="14" max="14" width="12.00" customWidth="1"/>
  </cols>
  <sheetData>
    <row r="1">
      <c r="A1" s="1" t="inlineStr">
        <is>
          <t>TIẾN ĐỘ THI CÔNG PHẦN MÓNG – NHÀ VĂN PHÒNG 9 TẦNG</t>
        </is>
      </c>
      <c r="N1" s="105" t="inlineStr">
        <is>
          <t>← Mục lục</t>
        </is>
      </c>
    </row>
    <row r="2">
      <c r="A2" s="2" t="inlineStr">
        <is>
          <t>Mã công tác</t>
        </is>
      </c>
      <c r="B2" s="3" t="inlineStr">
        <is>
          <t>Tên công tác</t>
        </is>
      </c>
      <c r="C2" s="2" t="inlineStr">
        <is>
          <t>Thời lượng</t>
        </is>
      </c>
      <c r="D2" s="3" t="inlineStr">
        <is>
          <t>Bắt đầu</t>
        </is>
      </c>
      <c r="E2" s="3" t="inlineStr">
        <is>
          <t>Kết thúc</t>
        </is>
      </c>
      <c r="F2" s="3" t="inlineStr">
        <is>
          <t>tháng 10 2026</t>
        </is>
      </c>
      <c r="G2" s="4"/>
      <c r="H2" s="4"/>
      <c r="I2" s="4"/>
      <c r="J2" s="4"/>
      <c r="K2" s="3" t="inlineStr">
        <is>
          <t>tháng 11 2026</t>
        </is>
      </c>
      <c r="L2" s="4"/>
    </row>
    <row r="3">
      <c r="A3" s="4"/>
      <c r="B3" s="4"/>
      <c r="C3" s="4"/>
      <c r="D3" s="4"/>
      <c r="E3" s="4"/>
      <c r="F3" s="7" t="inlineStr">
        <is>
          <t>W40</t>
        </is>
      </c>
      <c r="G3" s="7" t="inlineStr">
        <is>
          <t>W41</t>
        </is>
      </c>
      <c r="H3" s="7" t="inlineStr">
        <is>
          <t>W42</t>
        </is>
      </c>
      <c r="I3" s="7" t="inlineStr">
        <is>
          <t>W43</t>
        </is>
      </c>
      <c r="J3" s="7" t="inlineStr">
        <is>
          <t>W44</t>
        </is>
      </c>
      <c r="K3" s="7" t="inlineStr">
        <is>
          <t>W45</t>
        </is>
      </c>
      <c r="L3" s="7" t="inlineStr">
        <is>
          <t>W46</t>
        </is>
      </c>
    </row>
    <row r="4">
      <c r="A4" s="4" t="inlineStr">
        <is>
          <t>A1010</t>
        </is>
      </c>
      <c r="B4" s="4" t="inlineStr">
        <is>
          <t>Đào đất hố móng</t>
        </is>
      </c>
      <c r="C4" s="4">
        <v>8</v>
      </c>
      <c r="D4" s="5">
        <v>46300</v>
      </c>
      <c r="E4" s="5">
        <v>46305</v>
      </c>
      <c r="G4" s="8" t="inlineStr">
        <is>
          <t>▀▀▀▀</t>
        </is>
      </c>
    </row>
    <row r="5">
      <c r="A5" s="4" t="inlineStr">
        <is>
          <t>A1020</t>
        </is>
      </c>
      <c r="B5" s="4" t="inlineStr">
        <is>
          <t>Đổ bê tông lót móng</t>
        </is>
      </c>
      <c r="C5" s="4">
        <v>2</v>
      </c>
      <c r="D5" s="5">
        <v>46307</v>
      </c>
      <c r="E5" s="5">
        <v>46308</v>
      </c>
      <c r="H5" s="8" t="inlineStr">
        <is>
          <t>▀</t>
        </is>
      </c>
    </row>
    <row r="6">
      <c r="A6" s="4" t="inlineStr">
        <is>
          <t>A1030</t>
        </is>
      </c>
      <c r="B6" s="4" t="inlineStr">
        <is>
          <t>Cốt thép, ván khuôn đài móng</t>
        </is>
      </c>
      <c r="C6" s="4">
        <v>8</v>
      </c>
      <c r="D6" s="5">
        <v>46309</v>
      </c>
      <c r="E6" s="5">
        <v>46317</v>
      </c>
      <c r="H6" s="8" t="inlineStr">
        <is>
          <t xml:space="preserve">   ▀▀▀▀▀▀</t>
        </is>
      </c>
    </row>
    <row r="7">
      <c r="A7" s="4" t="inlineStr">
        <is>
          <t>A1040</t>
        </is>
      </c>
      <c r="B7" s="4" t="inlineStr">
        <is>
          <t>Bê tông đài, giằng móng</t>
        </is>
      </c>
      <c r="C7" s="4">
        <v>2</v>
      </c>
      <c r="D7" s="5">
        <v>46318</v>
      </c>
      <c r="E7" s="5">
        <v>46319</v>
      </c>
      <c r="I7" s="8" t="inlineStr">
        <is>
          <t xml:space="preserve">        ▀</t>
        </is>
      </c>
    </row>
    <row r="8">
      <c r="A8" s="4" t="inlineStr">
        <is>
          <t>A1050</t>
        </is>
      </c>
      <c r="B8" s="4" t="inlineStr">
        <is>
          <t>Lấp đất, tôn nền tầng 1</t>
        </is>
      </c>
      <c r="C8" s="4">
        <v>6</v>
      </c>
      <c r="D8" s="5">
        <v>46321</v>
      </c>
      <c r="E8" s="5">
        <v>46326</v>
      </c>
      <c r="J8" s="8" t="inlineStr">
        <is>
          <t>▀▀▀▀</t>
        </is>
      </c>
    </row>
    <row r="9">
      <c r="A9" s="4" t="inlineStr">
        <is>
          <t>A1060</t>
        </is>
      </c>
      <c r="B9" s="4" t="inlineStr">
        <is>
          <t>Nghiệm thu phần móng</t>
        </is>
      </c>
      <c r="C9" s="4">
        <v>0</v>
      </c>
      <c r="D9" s="4"/>
      <c r="E9" s="5">
        <v>46328</v>
      </c>
      <c r="K9" s="9" t="inlineStr">
        <is>
          <t>◆</t>
        </is>
      </c>
    </row>
  </sheetData>
  <mergeCells count="8">
    <mergeCell ref="A1:E1"/>
    <mergeCell ref="A2:A3"/>
    <mergeCell ref="B2:B3"/>
    <mergeCell ref="C2:C3"/>
    <mergeCell ref="D2:D3"/>
    <mergeCell ref="E2:E3"/>
    <mergeCell ref="F2:J2"/>
    <mergeCell ref="K2:L2"/>
  </mergeCells>
  <hyperlinks>
    <hyperlink ref="N1" location="'Mục lục'!A7" display="← Mục lục"/>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J8"/>
  <sheetViews>
    <sheetView workbookViewId="0">
      <selection activeCell="F2" sqref="F2:H8"/>
    </sheetView>
  </sheetViews>
  <sheetFormatPr defaultRowHeight="15"/>
  <cols>
    <col min="1" max="1" width="8.00" customWidth="1"/>
    <col min="2" max="2" width="24.00" customWidth="1"/>
    <col min="3" max="3" width="8.50" customWidth="1"/>
    <col min="4" max="4" width="10.00" customWidth="1"/>
    <col min="5" max="5" width="10.00" customWidth="1"/>
    <col min="6" max="6" width="10.00" customWidth="1"/>
    <col min="7" max="7" width="10.00" customWidth="1"/>
    <col min="8" max="8" width="10.00" customWidth="1"/>
    <col min="10" max="10" width="12.00" customWidth="1"/>
  </cols>
  <sheetData>
    <row r="1" ht="28.50" customHeight="1">
      <c r="A1" s="2" t="inlineStr">
        <is>
          <t>Mã công tác</t>
        </is>
      </c>
      <c r="B1" s="2" t="inlineStr">
        <is>
          <t>Tên công tác</t>
        </is>
      </c>
      <c r="C1" s="2" t="inlineStr">
        <is>
          <t>Thời lượng</t>
        </is>
      </c>
      <c r="D1" s="2" t="inlineStr">
        <is>
          <t>Bắt đầu</t>
        </is>
      </c>
      <c r="E1" s="2" t="inlineStr">
        <is>
          <t>Kết thúc</t>
        </is>
      </c>
      <c r="F1" s="2" t="inlineStr">
        <is>
          <t>Bắt đầu thực tế</t>
        </is>
      </c>
      <c r="G1" s="2" t="inlineStr">
        <is>
          <t>Kết thúc thực tế</t>
        </is>
      </c>
      <c r="H1" s="2" t="inlineStr">
        <is>
          <t>Hoàn thành (%)</t>
        </is>
      </c>
      <c r="J1" s="105" t="inlineStr">
        <is>
          <t>← Mục lục</t>
        </is>
      </c>
    </row>
    <row r="2">
      <c r="A2" s="4" t="inlineStr">
        <is>
          <t>A1010</t>
        </is>
      </c>
      <c r="B2" s="4" t="inlineStr">
        <is>
          <t>Đào đất hố móng</t>
        </is>
      </c>
      <c r="C2" s="4">
        <v>6</v>
      </c>
      <c r="D2" s="5">
        <v>46300</v>
      </c>
      <c r="E2" s="5">
        <v>46305</v>
      </c>
      <c r="F2" s="5">
        <v>46300</v>
      </c>
      <c r="G2" s="5">
        <v>46305</v>
      </c>
      <c r="H2" s="10">
        <v>1</v>
      </c>
    </row>
    <row r="3">
      <c r="A3" s="4" t="inlineStr">
        <is>
          <t>A1020</t>
        </is>
      </c>
      <c r="B3" s="4" t="inlineStr">
        <is>
          <t>Đổ bê tông lót móng</t>
        </is>
      </c>
      <c r="C3" s="4">
        <v>2</v>
      </c>
      <c r="D3" s="5">
        <v>46307</v>
      </c>
      <c r="E3" s="5">
        <v>46309</v>
      </c>
      <c r="F3" s="5">
        <v>46307</v>
      </c>
      <c r="G3" s="5">
        <v>46309</v>
      </c>
      <c r="H3" s="10">
        <v>1</v>
      </c>
    </row>
    <row r="4">
      <c r="A4" s="4" t="inlineStr">
        <is>
          <t>A1030</t>
        </is>
      </c>
      <c r="B4" s="4" t="inlineStr">
        <is>
          <t>Cốt thép, ván khuôn đài móng</t>
        </is>
      </c>
      <c r="C4" s="4">
        <v>8</v>
      </c>
      <c r="D4" s="5">
        <v>46310</v>
      </c>
      <c r="E4" s="5">
        <v>46318</v>
      </c>
      <c r="F4" s="5">
        <v>46310</v>
      </c>
      <c r="G4" s="4"/>
      <c r="H4" s="10">
        <v>0.25</v>
      </c>
    </row>
    <row r="5">
      <c r="A5" s="4" t="inlineStr">
        <is>
          <t>A1035</t>
        </is>
      </c>
      <c r="B5" s="4" t="inlineStr">
        <is>
          <t>Gia công thép chờ cột tầng 1</t>
        </is>
      </c>
      <c r="C5" s="4">
        <v>3</v>
      </c>
      <c r="D5" s="5">
        <v>46310</v>
      </c>
      <c r="E5" s="5">
        <v>46312</v>
      </c>
      <c r="F5" s="4"/>
      <c r="G5" s="4"/>
      <c r="H5" s="10">
        <v>0</v>
      </c>
    </row>
    <row r="6">
      <c r="A6" s="4" t="inlineStr">
        <is>
          <t>A1040</t>
        </is>
      </c>
      <c r="B6" s="4" t="inlineStr">
        <is>
          <t>Bê tông đài, giằng móng</t>
        </is>
      </c>
      <c r="C6" s="4">
        <v>2</v>
      </c>
      <c r="D6" s="5">
        <v>46319</v>
      </c>
      <c r="E6" s="5">
        <v>46321</v>
      </c>
      <c r="F6" s="4"/>
      <c r="G6" s="4"/>
      <c r="H6" s="10">
        <v>0</v>
      </c>
    </row>
    <row r="7">
      <c r="A7" s="4" t="inlineStr">
        <is>
          <t>A1050</t>
        </is>
      </c>
      <c r="B7" s="4" t="inlineStr">
        <is>
          <t>Lấp đất, tôn nền tầng 1</t>
        </is>
      </c>
      <c r="C7" s="4">
        <v>6</v>
      </c>
      <c r="D7" s="5">
        <v>46322</v>
      </c>
      <c r="E7" s="5">
        <v>46328</v>
      </c>
      <c r="F7" s="4"/>
      <c r="G7" s="4"/>
      <c r="H7" s="10">
        <v>0</v>
      </c>
    </row>
    <row r="8">
      <c r="A8" s="4" t="inlineStr">
        <is>
          <t>A1060</t>
        </is>
      </c>
      <c r="B8" s="4" t="inlineStr">
        <is>
          <t>Nghiệm thu phần móng</t>
        </is>
      </c>
      <c r="C8" s="4">
        <v>0</v>
      </c>
      <c r="D8" s="4"/>
      <c r="E8" s="5">
        <v>46329</v>
      </c>
      <c r="F8" s="4"/>
      <c r="G8" s="4"/>
      <c r="H8" s="10">
        <v>0</v>
      </c>
    </row>
  </sheetData>
  <hyperlinks>
    <hyperlink ref="J1" location="'Mục lục'!A8" display="← Mục lục"/>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M7"/>
  <sheetViews>
    <sheetView workbookViewId="0">
      <selection activeCell="A3" sqref="A3"/>
    </sheetView>
  </sheetViews>
  <sheetFormatPr defaultRowHeight="15"/>
  <cols>
    <col min="1" max="1" width="11.00" customWidth="1"/>
    <col min="2" max="2" width="8.00" customWidth="1"/>
    <col min="3" max="3" width="5.50" customWidth="1"/>
    <col min="4" max="4" width="5.50" customWidth="1"/>
    <col min="5" max="5" width="8.50" customWidth="1"/>
    <col min="6" max="6" width="5.50" customWidth="1"/>
    <col min="7" max="7" width="5.50" customWidth="1"/>
    <col min="8" max="8" width="4.00" customWidth="1"/>
    <col min="9" max="9" width="4.00" customWidth="1"/>
    <col min="10" max="10" width="8.40" customWidth="1"/>
    <col min="11" max="11" width="8.40" customWidth="1"/>
    <col min="13" max="13" width="12.00" customWidth="1"/>
  </cols>
  <sheetData>
    <row r="1" ht="40.50" customHeight="1">
      <c r="A1" s="2" t="inlineStr">
        <is>
          <t>Tên công tác</t>
        </is>
      </c>
      <c r="B1" s="2" t="inlineStr">
        <is>
          <t>Thời lượng</t>
        </is>
      </c>
      <c r="C1" s="2" t="inlineStr">
        <is>
          <t>Bắt đầu</t>
        </is>
      </c>
      <c r="D1" s="2" t="inlineStr">
        <is>
          <t>Kết thúc</t>
        </is>
      </c>
      <c r="E1" s="2" t="inlineStr">
        <is>
          <t>Hoàn thành</t>
        </is>
      </c>
      <c r="F1" s="2" t="inlineStr">
        <is>
          <t>BĐ thực tế</t>
        </is>
      </c>
      <c r="G1" s="2" t="inlineStr">
        <is>
          <t>KT thực tế</t>
        </is>
      </c>
      <c r="H1" s="2" t="inlineStr">
        <is>
          <t>BAC</t>
        </is>
      </c>
      <c r="I1" s="2" t="inlineStr">
        <is>
          <t>EV</t>
        </is>
      </c>
      <c r="M1" s="105" t="inlineStr">
        <is>
          <t>← Mục lục</t>
        </is>
      </c>
    </row>
    <row r="2">
      <c r="A2" s="4" t="inlineStr">
        <is>
          <t>BT cột T2</t>
        </is>
      </c>
      <c r="B2" s="4">
        <v>4</v>
      </c>
      <c r="C2" s="6" t="inlineStr">
        <is>
          <t>05/10</t>
        </is>
      </c>
      <c r="D2" s="6" t="inlineStr">
        <is>
          <t>08/10</t>
        </is>
      </c>
      <c r="E2" s="10">
        <v>1</v>
      </c>
      <c r="F2" s="6" t="inlineStr">
        <is>
          <t>05/10</t>
        </is>
      </c>
      <c r="G2" s="6" t="inlineStr">
        <is>
          <t>08/10</t>
        </is>
      </c>
      <c r="H2" s="4">
        <v>120</v>
      </c>
      <c r="I2" s="4">
        <v>120</v>
      </c>
    </row>
    <row r="3">
      <c r="A3" s="4" t="inlineStr">
        <is>
          <t>Thép sàn T2</t>
        </is>
      </c>
      <c r="B3" s="4">
        <v>8</v>
      </c>
      <c r="C3" s="6" t="inlineStr">
        <is>
          <t>09/10</t>
        </is>
      </c>
      <c r="D3" s="6" t="inlineStr">
        <is>
          <t>17/10</t>
        </is>
      </c>
      <c r="E3" s="10">
        <v>1</v>
      </c>
      <c r="F3" s="6" t="inlineStr">
        <is>
          <t>09/10</t>
        </is>
      </c>
      <c r="G3" s="6" t="inlineStr">
        <is>
          <t>19/10</t>
        </is>
      </c>
      <c r="H3" s="4">
        <v>260</v>
      </c>
      <c r="I3" s="4">
        <v>260</v>
      </c>
    </row>
    <row r="4">
      <c r="A4" s="4" t="inlineStr">
        <is>
          <t>Xây tường T1</t>
        </is>
      </c>
      <c r="B4" s="4">
        <v>10</v>
      </c>
      <c r="C4" s="6" t="inlineStr">
        <is>
          <t>12/10</t>
        </is>
      </c>
      <c r="D4" s="6" t="inlineStr">
        <is>
          <t>23/10</t>
        </is>
      </c>
      <c r="E4" s="10">
        <v>0.6</v>
      </c>
      <c r="F4" s="6" t="inlineStr">
        <is>
          <t>13/10</t>
        </is>
      </c>
      <c r="G4" s="4"/>
      <c r="H4" s="4">
        <v>150</v>
      </c>
      <c r="I4" s="4">
        <v>90</v>
      </c>
    </row>
    <row r="5">
      <c r="A5" s="4" t="inlineStr">
        <is>
          <t>BT cột T3</t>
        </is>
      </c>
      <c r="B5" s="4">
        <v>3</v>
      </c>
      <c r="C5" s="6" t="inlineStr">
        <is>
          <t>19/10</t>
        </is>
      </c>
      <c r="D5" s="6" t="inlineStr">
        <is>
          <t>21/10</t>
        </is>
      </c>
      <c r="E5" s="10">
        <v>0.5</v>
      </c>
      <c r="F5" s="6" t="inlineStr">
        <is>
          <t>20/10</t>
        </is>
      </c>
      <c r="G5" s="4"/>
      <c r="H5" s="4">
        <v>90</v>
      </c>
      <c r="I5" s="4">
        <v>45</v>
      </c>
    </row>
    <row r="6">
      <c r="A6" s="4" t="inlineStr">
        <is>
          <t>Điện âm T1</t>
        </is>
      </c>
      <c r="B6" s="4">
        <v>5</v>
      </c>
      <c r="C6" s="6" t="inlineStr">
        <is>
          <t>16/10</t>
        </is>
      </c>
      <c r="D6" s="6" t="inlineStr">
        <is>
          <t>21/10</t>
        </is>
      </c>
      <c r="E6" s="10">
        <v>0</v>
      </c>
      <c r="F6" s="4"/>
      <c r="G6" s="4"/>
      <c r="H6" s="4">
        <v>70</v>
      </c>
      <c r="I6" s="4">
        <v>0</v>
      </c>
    </row>
    <row r="7">
      <c r="A7" s="4" t="inlineStr">
        <is>
          <t>Trát tường T1</t>
        </is>
      </c>
      <c r="B7" s="4">
        <v>8</v>
      </c>
      <c r="C7" s="6" t="inlineStr">
        <is>
          <t>26/10</t>
        </is>
      </c>
      <c r="D7" s="6" t="inlineStr">
        <is>
          <t>03/11</t>
        </is>
      </c>
      <c r="E7" s="10">
        <v>0</v>
      </c>
      <c r="F7" s="4"/>
      <c r="G7" s="4"/>
      <c r="H7" s="4">
        <v>180</v>
      </c>
      <c r="I7" s="4">
        <v>0</v>
      </c>
    </row>
  </sheetData>
  <hyperlinks>
    <hyperlink ref="M1" location="'Mục lục'!A9" display="← Mục lục"/>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7"/>
  <sheetViews>
    <sheetView workbookViewId="0">
      <selection activeCell="A7" sqref="A7:F7"/>
    </sheetView>
  </sheetViews>
  <sheetFormatPr defaultRowHeight="15"/>
  <cols>
    <col min="1" max="1" width="9.00" customWidth="1"/>
    <col min="2" max="2" width="25.00" customWidth="1"/>
    <col min="3" max="3" width="8.00" customWidth="1"/>
    <col min="4" max="4" width="10.00" customWidth="1"/>
    <col min="5" max="5" width="10.00" customWidth="1"/>
    <col min="6" max="6" width="11.00" customWidth="1"/>
    <col min="7" max="7" width="8.40" customWidth="1"/>
    <col min="9" max="9" width="12.00" customWidth="1"/>
  </cols>
  <sheetData>
    <row r="1" ht="28.50" customHeight="1">
      <c r="A1" s="2" t="inlineStr">
        <is>
          <t>Mã công tác</t>
        </is>
      </c>
      <c r="B1" s="2" t="inlineStr">
        <is>
          <t>Tên công tác</t>
        </is>
      </c>
      <c r="C1" s="2" t="inlineStr">
        <is>
          <t>Thời lượng</t>
        </is>
      </c>
      <c r="D1" s="2" t="inlineStr">
        <is>
          <t>Bắt đầu</t>
        </is>
      </c>
      <c r="E1" s="2" t="inlineStr">
        <is>
          <t>Kết thúc</t>
        </is>
      </c>
      <c r="F1" s="2" t="inlineStr">
        <is>
          <t>Công tác trước</t>
        </is>
      </c>
      <c r="I1" s="105" t="inlineStr">
        <is>
          <t>← Mục lục</t>
        </is>
      </c>
    </row>
    <row r="2">
      <c r="A2" s="4" t="inlineStr">
        <is>
          <t>A1010</t>
        </is>
      </c>
      <c r="B2" s="4" t="inlineStr">
        <is>
          <t>Đào đất hố móng</t>
        </is>
      </c>
      <c r="C2" s="4">
        <v>6</v>
      </c>
      <c r="D2" s="5">
        <v>46300</v>
      </c>
      <c r="E2" s="5">
        <v>46305</v>
      </c>
      <c r="F2" s="4"/>
    </row>
    <row r="3">
      <c r="A3" s="4" t="inlineStr">
        <is>
          <t>A1020</t>
        </is>
      </c>
      <c r="B3" s="4" t="inlineStr">
        <is>
          <t>Đổ bê tông lót móng</t>
        </is>
      </c>
      <c r="C3" s="4">
        <v>2</v>
      </c>
      <c r="D3" s="5">
        <v>46307</v>
      </c>
      <c r="E3" s="5">
        <v>46308</v>
      </c>
      <c r="F3" s="6" t="inlineStr">
        <is>
          <t>A1010FS</t>
        </is>
      </c>
    </row>
    <row r="4">
      <c r="A4" s="4" t="inlineStr">
        <is>
          <t>A1030</t>
        </is>
      </c>
      <c r="B4" s="4" t="inlineStr">
        <is>
          <t>Cốt thép, ván khuôn đài móng</t>
        </is>
      </c>
      <c r="C4" s="4">
        <v>8</v>
      </c>
      <c r="D4" s="5">
        <v>46309</v>
      </c>
      <c r="E4" s="5">
        <v>46317</v>
      </c>
      <c r="F4" s="6" t="inlineStr">
        <is>
          <t>A1020FS</t>
        </is>
      </c>
    </row>
    <row r="5">
      <c r="A5" s="4" t="inlineStr">
        <is>
          <t>A1040</t>
        </is>
      </c>
      <c r="B5" s="4" t="inlineStr">
        <is>
          <t>Bê tông đài, giằng móng</t>
        </is>
      </c>
      <c r="C5" s="4">
        <v>2</v>
      </c>
      <c r="D5" s="5">
        <v>46318</v>
      </c>
      <c r="E5" s="5">
        <v>46319</v>
      </c>
      <c r="F5" s="6" t="inlineStr">
        <is>
          <t>A1030FS</t>
        </is>
      </c>
    </row>
    <row r="6">
      <c r="A6" s="4" t="inlineStr">
        <is>
          <t>A1050</t>
        </is>
      </c>
      <c r="B6" s="4" t="inlineStr">
        <is>
          <t>Lấp đất, tôn nền tầng 1</t>
        </is>
      </c>
      <c r="C6" s="4">
        <v>6</v>
      </c>
      <c r="D6" s="5">
        <v>46321</v>
      </c>
      <c r="E6" s="5">
        <v>46326</v>
      </c>
      <c r="F6" s="6" t="inlineStr">
        <is>
          <t>A1040FS</t>
        </is>
      </c>
    </row>
    <row r="7" ht="24.00" customHeight="1">
      <c r="A7" s="4" t="inlineStr">
        <is>
          <t>A1070</t>
        </is>
      </c>
      <c r="B7" s="4" t="inlineStr">
        <is>
          <t>Lắp dựng cẩu tháp</t>
        </is>
      </c>
      <c r="C7" s="4">
        <v>3</v>
      </c>
      <c r="D7" s="5">
        <v>46321</v>
      </c>
      <c r="E7" s="5">
        <v>46323</v>
      </c>
      <c r="F7" s="6" t="inlineStr">
        <is>
          <t>A1040FS</t>
        </is>
      </c>
    </row>
  </sheetData>
  <hyperlinks>
    <hyperlink ref="I1" location="'Mục lục'!A12" display="← Mục lục"/>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7"/>
  <sheetViews>
    <sheetView workbookViewId="0">
      <selection activeCell="A2" sqref="A2"/>
    </sheetView>
  </sheetViews>
  <sheetFormatPr defaultRowHeight="15"/>
  <cols>
    <col min="1" max="1" width="10.00" customWidth="1"/>
    <col min="2" max="2" width="25.00" customWidth="1"/>
    <col min="3" max="3" width="9.00" customWidth="1"/>
    <col min="4" max="4" width="10.50" customWidth="1"/>
    <col min="5" max="5" width="10.50" customWidth="1"/>
    <col min="6" max="6" width="12.00" customWidth="1"/>
    <col min="7" max="7" width="11.00" customWidth="1"/>
    <col min="9" max="9" width="12.00" customWidth="1"/>
  </cols>
  <sheetData>
    <row r="1">
      <c r="A1" s="1" t="inlineStr">
        <is>
          <t>TIẾN ĐỘ — Nhà văn phòng 9 tầng</t>
        </is>
      </c>
      <c r="I1" s="105" t="inlineStr">
        <is>
          <t>← Mục lục</t>
        </is>
      </c>
    </row>
    <row r="2" ht="28.50" customHeight="1">
      <c r="A2" s="2" t="inlineStr">
        <is>
          <t>Activity ID</t>
        </is>
      </c>
      <c r="B2" s="2" t="inlineStr">
        <is>
          <t>Activity Name</t>
        </is>
      </c>
      <c r="C2" s="2" t="inlineStr">
        <is>
          <t>Duration</t>
        </is>
      </c>
      <c r="D2" s="2" t="inlineStr">
        <is>
          <t>Start</t>
        </is>
      </c>
      <c r="E2" s="2" t="inlineStr">
        <is>
          <t>Finish</t>
        </is>
      </c>
      <c r="F2" s="2" t="inlineStr">
        <is>
          <t>Predecessors</t>
        </is>
      </c>
      <c r="G2" s="2" t="inlineStr">
        <is>
          <t>Complete (%)</t>
        </is>
      </c>
    </row>
    <row r="3">
      <c r="A3" s="4" t="inlineStr">
        <is>
          <t>A1010</t>
        </is>
      </c>
      <c r="B3" s="4" t="inlineStr">
        <is>
          <t>Đào đất hố móng</t>
        </is>
      </c>
      <c r="C3" s="4">
        <v>6</v>
      </c>
      <c r="D3" s="5">
        <v>46300</v>
      </c>
      <c r="E3" s="5">
        <v>46305</v>
      </c>
      <c r="F3" s="4"/>
      <c r="G3" s="10">
        <v>1</v>
      </c>
    </row>
    <row r="4">
      <c r="A4" s="4" t="inlineStr">
        <is>
          <t>A1020</t>
        </is>
      </c>
      <c r="B4" s="4" t="inlineStr">
        <is>
          <t>Đổ bê tông lót móng</t>
        </is>
      </c>
      <c r="C4" s="4">
        <v>2</v>
      </c>
      <c r="D4" s="5">
        <v>46307</v>
      </c>
      <c r="E4" s="5">
        <v>46308</v>
      </c>
      <c r="F4" s="6" t="inlineStr">
        <is>
          <t>A1010FS</t>
        </is>
      </c>
      <c r="G4" s="10">
        <v>1</v>
      </c>
    </row>
    <row r="5">
      <c r="A5" s="4" t="inlineStr">
        <is>
          <t>A1030</t>
        </is>
      </c>
      <c r="B5" s="4" t="inlineStr">
        <is>
          <t>Cốt thép, ván khuôn đài móng</t>
        </is>
      </c>
      <c r="C5" s="4">
        <v>8</v>
      </c>
      <c r="D5" s="5">
        <v>46309</v>
      </c>
      <c r="E5" s="5">
        <v>46317</v>
      </c>
      <c r="F5" s="6" t="inlineStr">
        <is>
          <t>A1020FS</t>
        </is>
      </c>
      <c r="G5" s="10">
        <v>0.4</v>
      </c>
    </row>
    <row r="6">
      <c r="A6" s="4" t="inlineStr">
        <is>
          <t>A1040</t>
        </is>
      </c>
      <c r="B6" s="4" t="inlineStr">
        <is>
          <t>Bê tông đài, giằng móng</t>
        </is>
      </c>
      <c r="C6" s="4">
        <v>2</v>
      </c>
      <c r="D6" s="5">
        <v>46318</v>
      </c>
      <c r="E6" s="5">
        <v>46319</v>
      </c>
      <c r="F6" s="6" t="inlineStr">
        <is>
          <t>A1030FS</t>
        </is>
      </c>
      <c r="G6" s="10">
        <v>0</v>
      </c>
    </row>
    <row r="7">
      <c r="A7" s="4" t="inlineStr">
        <is>
          <t>A1050</t>
        </is>
      </c>
      <c r="B7" s="4" t="inlineStr">
        <is>
          <t>Lấp đất, tôn nền tầng 1</t>
        </is>
      </c>
      <c r="C7" s="4">
        <v>6</v>
      </c>
      <c r="D7" s="5">
        <v>46321</v>
      </c>
      <c r="E7" s="5">
        <v>46326</v>
      </c>
      <c r="F7" s="6" t="inlineStr">
        <is>
          <t>A1040FS</t>
        </is>
      </c>
      <c r="G7" s="10">
        <v>0</v>
      </c>
    </row>
  </sheetData>
  <hyperlinks>
    <hyperlink ref="I1" location="'Mục lục'!A13" display="← Mục lục"/>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H7"/>
  <sheetViews>
    <sheetView workbookViewId="0">
      <selection activeCell="A2" sqref="A2"/>
    </sheetView>
  </sheetViews>
  <sheetFormatPr defaultRowHeight="15"/>
  <cols>
    <col min="1" max="1" width="9.00" customWidth="1"/>
    <col min="2" max="2" width="26.00" customWidth="1"/>
    <col min="3" max="3" width="8.00" customWidth="1"/>
    <col min="4" max="4" width="11.00" customWidth="1"/>
    <col min="5" max="5" width="11.00" customWidth="1"/>
    <col min="6" max="6" width="11.00" customWidth="1"/>
    <col min="8" max="8" width="12.00" customWidth="1"/>
  </cols>
  <sheetData>
    <row r="1" ht="28.50" customHeight="1">
      <c r="A1" s="2" t="inlineStr">
        <is>
          <t>Mã công tác</t>
        </is>
      </c>
      <c r="B1" s="2" t="inlineStr">
        <is>
          <t>Tên công tác</t>
        </is>
      </c>
      <c r="C1" s="2" t="inlineStr">
        <is>
          <t>Thời lượng</t>
        </is>
      </c>
      <c r="D1" s="2" t="inlineStr">
        <is>
          <t>Bắt đầu</t>
        </is>
      </c>
      <c r="E1" s="2" t="inlineStr">
        <is>
          <t>Kết thúc</t>
        </is>
      </c>
      <c r="F1" s="2" t="inlineStr">
        <is>
          <t>Công tác trước</t>
        </is>
      </c>
      <c r="H1" s="105" t="inlineStr">
        <is>
          <t>← Mục lục</t>
        </is>
      </c>
    </row>
    <row r="2">
      <c r="A2" s="4" t="inlineStr">
        <is>
          <t>A1010</t>
        </is>
      </c>
      <c r="B2" s="4" t="inlineStr">
        <is>
          <t>Đào đất hố móng</t>
        </is>
      </c>
      <c r="C2" s="4">
        <v>6</v>
      </c>
      <c r="D2" s="5">
        <v>46300</v>
      </c>
      <c r="E2" s="5">
        <v>46305</v>
      </c>
      <c r="F2" s="4"/>
    </row>
    <row r="3">
      <c r="A3" s="4" t="inlineStr">
        <is>
          <t>A1020</t>
        </is>
      </c>
      <c r="B3" s="4" t="inlineStr">
        <is>
          <t>Đổ bê tông lót móng</t>
        </is>
      </c>
      <c r="C3" s="4">
        <v>2</v>
      </c>
      <c r="D3" s="5">
        <v>46307</v>
      </c>
      <c r="E3" s="5">
        <v>46308</v>
      </c>
      <c r="F3" s="6" t="inlineStr">
        <is>
          <t>A1010FS</t>
        </is>
      </c>
    </row>
    <row r="4">
      <c r="A4" s="4" t="inlineStr">
        <is>
          <t>A1030</t>
        </is>
      </c>
      <c r="B4" s="4" t="inlineStr">
        <is>
          <t>Cốt thép, ván khuôn đài móng</t>
        </is>
      </c>
      <c r="C4" s="4">
        <v>8</v>
      </c>
      <c r="D4" s="5">
        <v>46309</v>
      </c>
      <c r="E4" s="5">
        <v>46317</v>
      </c>
      <c r="F4" s="6" t="inlineStr">
        <is>
          <t>A1020FS</t>
        </is>
      </c>
    </row>
    <row r="5">
      <c r="A5" s="4" t="inlineStr">
        <is>
          <t>A1040</t>
        </is>
      </c>
      <c r="B5" s="4" t="inlineStr">
        <is>
          <t>Bê tông đài, giằng móng</t>
        </is>
      </c>
      <c r="C5" s="4">
        <v>2</v>
      </c>
      <c r="D5" s="5">
        <v>46318</v>
      </c>
      <c r="E5" s="5">
        <v>46319</v>
      </c>
      <c r="F5" s="6" t="inlineStr">
        <is>
          <t>A1030FS</t>
        </is>
      </c>
    </row>
    <row r="6">
      <c r="A6" s="4" t="inlineStr">
        <is>
          <t>A1050</t>
        </is>
      </c>
      <c r="B6" s="4" t="inlineStr">
        <is>
          <t>Lấp đất, tôn nền tầng 1</t>
        </is>
      </c>
      <c r="C6" s="4">
        <v>6</v>
      </c>
      <c r="D6" s="5">
        <v>46321</v>
      </c>
      <c r="E6" s="5">
        <v>46326</v>
      </c>
      <c r="F6" s="6" t="inlineStr">
        <is>
          <t>A1040FS</t>
        </is>
      </c>
    </row>
    <row r="7">
      <c r="A7" s="4" t="inlineStr">
        <is>
          <t>A1060</t>
        </is>
      </c>
      <c r="B7" s="4" t="inlineStr">
        <is>
          <t>Nghiệm thu phần móng</t>
        </is>
      </c>
      <c r="C7" s="4">
        <v>0</v>
      </c>
      <c r="D7" s="4"/>
      <c r="E7" s="5">
        <v>46328</v>
      </c>
      <c r="F7" s="6" t="inlineStr">
        <is>
          <t>A1050FS</t>
        </is>
      </c>
    </row>
  </sheetData>
  <hyperlinks>
    <hyperlink ref="H1" location="'Mục lục'!A14" display="← Mục lục"/>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11"/>
  <sheetViews>
    <sheetView workbookViewId="0">
      <selection activeCell="A3" sqref="A3:D11"/>
    </sheetView>
  </sheetViews>
  <sheetFormatPr defaultRowHeight="15"/>
  <cols>
    <col min="1" max="1" width="10.00" customWidth="1"/>
    <col min="2" max="2" width="44.00" customWidth="1"/>
    <col min="3" max="3" width="8.00" customWidth="1"/>
    <col min="4" max="4" width="11.00" customWidth="1"/>
    <col min="6" max="6" width="12.00" customWidth="1"/>
  </cols>
  <sheetData>
    <row r="1">
      <c r="A1" s="1" t="inlineStr">
        <is>
          <t>BẢNG KHỐI LƯỢNG – NHÀ VĂN PHÒNG 9 TẦNG</t>
        </is>
      </c>
      <c r="F1" s="105" t="inlineStr">
        <is>
          <t>← Mục lục</t>
        </is>
      </c>
    </row>
    <row r="3">
      <c r="A3" s="3" t="inlineStr">
        <is>
          <t>Mã hiệu</t>
        </is>
      </c>
      <c r="B3" s="3" t="inlineStr">
        <is>
          <t>Tên công việc</t>
        </is>
      </c>
      <c r="C3" s="3" t="inlineStr">
        <is>
          <t>Đơn vị</t>
        </is>
      </c>
      <c r="D3" s="3" t="inlineStr">
        <is>
          <t>Khối lượng</t>
        </is>
      </c>
    </row>
    <row r="4">
      <c r="A4" s="4" t="inlineStr">
        <is>
          <t>AB.25112</t>
        </is>
      </c>
      <c r="B4" s="4" t="inlineStr">
        <is>
          <t>Đào móng bằng máy đào, đất cấp II</t>
        </is>
      </c>
      <c r="C4" s="6" t="inlineStr">
        <is>
          <t>100m³</t>
        </is>
      </c>
      <c r="D4" s="11">
        <v>12.5</v>
      </c>
    </row>
    <row r="5">
      <c r="A5" s="4" t="inlineStr">
        <is>
          <t>AF.11111</t>
        </is>
      </c>
      <c r="B5" s="4" t="inlineStr">
        <is>
          <t>Bê tông lót móng đá 4x6, M100</t>
        </is>
      </c>
      <c r="C5" s="6" t="inlineStr">
        <is>
          <t>m³</t>
        </is>
      </c>
      <c r="D5" s="11">
        <v>38.4</v>
      </c>
    </row>
    <row r="6">
      <c r="A6" s="4" t="inlineStr">
        <is>
          <t>AF.61120</t>
        </is>
      </c>
      <c r="B6" s="4" t="inlineStr">
        <is>
          <t>Cốt thép móng, đường kính ≤18 mm</t>
        </is>
      </c>
      <c r="C6" s="6" t="inlineStr">
        <is>
          <t>tấn</t>
        </is>
      </c>
      <c r="D6" s="11">
        <v>24.6</v>
      </c>
    </row>
    <row r="7">
      <c r="A7" s="4" t="inlineStr">
        <is>
          <t>AF.81122</t>
        </is>
      </c>
      <c r="B7" s="4" t="inlineStr">
        <is>
          <t>Ván khuôn móng</t>
        </is>
      </c>
      <c r="C7" s="6" t="inlineStr">
        <is>
          <t>100m²</t>
        </is>
      </c>
      <c r="D7" s="11">
        <v>3.85</v>
      </c>
    </row>
    <row r="8">
      <c r="A8" s="4" t="inlineStr">
        <is>
          <t>AF.21225</t>
        </is>
      </c>
      <c r="B8" s="4" t="inlineStr">
        <is>
          <t>Bê tông móng đá 1x2, M300</t>
        </is>
      </c>
      <c r="C8" s="6" t="inlineStr">
        <is>
          <t>m³</t>
        </is>
      </c>
      <c r="D8" s="11">
        <v>286.5</v>
      </c>
    </row>
    <row r="9">
      <c r="A9" s="4" t="inlineStr">
        <is>
          <t>AB.13112</t>
        </is>
      </c>
      <c r="B9" s="4" t="inlineStr">
        <is>
          <t>Đắp đất nền móng, độ chặt K95</t>
        </is>
      </c>
      <c r="C9" s="6" t="inlineStr">
        <is>
          <t>m³</t>
        </is>
      </c>
      <c r="D9" s="11">
        <v>420</v>
      </c>
    </row>
    <row r="10">
      <c r="A10" s="4" t="inlineStr">
        <is>
          <t>AF.22245</t>
        </is>
      </c>
      <c r="B10" s="4" t="inlineStr">
        <is>
          <t>Bê tông cột đá 1x2, M350</t>
        </is>
      </c>
      <c r="C10" s="6" t="inlineStr">
        <is>
          <t>m³</t>
        </is>
      </c>
      <c r="D10" s="11">
        <v>42.8</v>
      </c>
    </row>
    <row r="11">
      <c r="A11" s="4" t="inlineStr">
        <is>
          <t>AF.22345</t>
        </is>
      </c>
      <c r="B11" s="4" t="inlineStr">
        <is>
          <t>Bê tông dầm, sàn đá 1x2, M300</t>
        </is>
      </c>
      <c r="C11" s="6" t="inlineStr">
        <is>
          <t>m³</t>
        </is>
      </c>
      <c r="D11" s="11">
        <v>156.2</v>
      </c>
    </row>
  </sheetData>
  <hyperlinks>
    <hyperlink ref="F1" location="'Mục lục'!A17" display="← Mục lục"/>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0"/>
  <sheetViews>
    <sheetView workbookViewId="0">
      <selection activeCell="A4" sqref="A4"/>
    </sheetView>
  </sheetViews>
  <sheetFormatPr defaultRowHeight="15"/>
  <cols>
    <col min="1" max="1" width="7.00" customWidth="1"/>
    <col min="2" max="2" width="25.00" customWidth="1"/>
    <col min="3" max="3" width="8.00" customWidth="1"/>
    <col min="4" max="4" width="10.00" customWidth="1"/>
    <col min="5" max="5" width="10.00" customWidth="1"/>
    <col min="6" max="6" width="10.00" customWidth="1"/>
    <col min="8" max="8" width="12.00" customWidth="1"/>
  </cols>
  <sheetData>
    <row r="1">
      <c r="A1" s="1" t="inlineStr">
        <is>
          <t>TIẾN ĐỘ THI CÔNG — NHÀ VĂN PHÒNG 9 TẦNG</t>
        </is>
      </c>
      <c r="H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Hoàn thành (%)</t>
        </is>
      </c>
    </row>
    <row r="3">
      <c r="A3" s="4" t="inlineStr">
        <is>
          <t>A1010</t>
        </is>
      </c>
      <c r="B3" s="4" t="inlineStr">
        <is>
          <t>Bê tông cột tầng 3</t>
        </is>
      </c>
      <c r="C3" s="6">
        <v>6</v>
      </c>
      <c r="D3" s="12">
        <v>46272</v>
      </c>
      <c r="E3" s="12">
        <v>46277</v>
      </c>
      <c r="F3" s="13">
        <v>1</v>
      </c>
    </row>
    <row r="4">
      <c r="A4" s="4" t="inlineStr">
        <is>
          <t>A1020</t>
        </is>
      </c>
      <c r="B4" s="4" t="inlineStr">
        <is>
          <t>Cốp pha, cốt thép sàn tầng 3</t>
        </is>
      </c>
      <c r="C4" s="6">
        <v>15</v>
      </c>
      <c r="D4" s="12">
        <v>46279</v>
      </c>
      <c r="E4" s="12">
        <v>46295</v>
      </c>
      <c r="F4" s="13">
        <v>0.75</v>
      </c>
    </row>
    <row r="5">
      <c r="A5" s="4" t="inlineStr">
        <is>
          <t>A1030</t>
        </is>
      </c>
      <c r="B5" s="4" t="inlineStr">
        <is>
          <t>Bê tông dầm sàn tầng 3</t>
        </is>
      </c>
      <c r="C5" s="6">
        <v>2</v>
      </c>
      <c r="D5" s="12">
        <v>46296</v>
      </c>
      <c r="E5" s="12">
        <v>46297</v>
      </c>
      <c r="F5" s="13">
        <v>0</v>
      </c>
    </row>
    <row r="6">
      <c r="A6" s="4" t="inlineStr">
        <is>
          <t>A1040</t>
        </is>
      </c>
      <c r="B6" s="4" t="inlineStr">
        <is>
          <t>Cốt thép, cốp pha cột tầng 4</t>
        </is>
      </c>
      <c r="C6" s="6">
        <v>6</v>
      </c>
      <c r="D6" s="12">
        <v>46300</v>
      </c>
      <c r="E6" s="12">
        <v>46305</v>
      </c>
      <c r="F6" s="13">
        <v>0</v>
      </c>
    </row>
    <row r="7">
      <c r="A7" s="4" t="inlineStr">
        <is>
          <t>A2010</t>
        </is>
      </c>
      <c r="B7" s="4" t="inlineStr">
        <is>
          <t>Xây tường tầng 1</t>
        </is>
      </c>
      <c r="C7" s="6">
        <v>18</v>
      </c>
      <c r="D7" s="12">
        <v>46279</v>
      </c>
      <c r="E7" s="12">
        <v>46298</v>
      </c>
      <c r="F7" s="13">
        <v>0.55</v>
      </c>
    </row>
    <row r="8">
      <c r="A8" s="4" t="inlineStr">
        <is>
          <t>A2020</t>
        </is>
      </c>
      <c r="B8" s="4" t="inlineStr">
        <is>
          <t>Xây tường tầng 2</t>
        </is>
      </c>
      <c r="C8" s="6">
        <v>12</v>
      </c>
      <c r="D8" s="12">
        <v>46300</v>
      </c>
      <c r="E8" s="12">
        <v>46312</v>
      </c>
      <c r="F8" s="13">
        <v>0</v>
      </c>
    </row>
    <row r="9">
      <c r="A9" s="4" t="inlineStr">
        <is>
          <t>A3010</t>
        </is>
      </c>
      <c r="B9" s="4" t="inlineStr">
        <is>
          <t>Lắp ống cấp thoát nước tầng 1</t>
        </is>
      </c>
      <c r="C9" s="6">
        <v>11</v>
      </c>
      <c r="D9" s="12">
        <v>46286</v>
      </c>
      <c r="E9" s="12">
        <v>46297</v>
      </c>
      <c r="F9" s="13">
        <v>0.3</v>
      </c>
    </row>
    <row r="10">
      <c r="A10" s="4" t="inlineStr">
        <is>
          <t>A3020</t>
        </is>
      </c>
      <c r="B10" s="4" t="inlineStr">
        <is>
          <t>Đi dây điện âm tường tầng 1</t>
        </is>
      </c>
      <c r="C10" s="6">
        <v>6</v>
      </c>
      <c r="D10" s="12">
        <v>46293</v>
      </c>
      <c r="E10" s="12">
        <v>46298</v>
      </c>
      <c r="F10" s="13">
        <v>0.1</v>
      </c>
    </row>
  </sheetData>
  <hyperlinks>
    <hyperlink ref="H1" location="'Mục lục'!A18" display="← Mục lục"/>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7" max="7" width="10.00" customWidth="1"/>
    <col min="8" max="8" width="10.00" customWidth="1"/>
    <col min="9" max="9" width="9.00" customWidth="1"/>
    <col min="10" max="10" width="7.00" customWidth="1"/>
    <col min="12" max="12" width="12.00" customWidth="1"/>
  </cols>
  <sheetData>
    <row r="1">
      <c r="A1" s="1" t="inlineStr">
        <is>
          <t>TIẾN ĐỘ THI CÔNG — NHÀ VĂN PHÒNG 9 TẦNG</t>
        </is>
      </c>
      <c r="L1" s="105"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Bắt đầu thực tế</t>
        </is>
      </c>
      <c r="H2" s="2" t="inlineStr">
        <is>
          <t>Kết thúc thực tế</t>
        </is>
      </c>
      <c r="I2" s="2" t="inlineStr">
        <is>
          <t>Hoàn thành (%)</t>
        </is>
      </c>
      <c r="J2" s="2" t="inlineStr">
        <is>
          <t>Tổng trôi</t>
        </is>
      </c>
    </row>
    <row r="3">
      <c r="A3" s="4" t="inlineStr">
        <is>
          <t>A1010</t>
        </is>
      </c>
      <c r="B3" s="4" t="inlineStr">
        <is>
          <t>Bê tông cột tầng 3</t>
        </is>
      </c>
      <c r="C3" s="6">
        <v>6</v>
      </c>
      <c r="D3" s="12">
        <v>46272</v>
      </c>
      <c r="E3" s="12">
        <v>46277</v>
      </c>
      <c r="F3" s="4"/>
      <c r="G3" s="12">
        <v>46272</v>
      </c>
      <c r="H3" s="12">
        <v>46277</v>
      </c>
      <c r="I3" s="13">
        <v>1</v>
      </c>
      <c r="J3" s="14">
        <v>0</v>
      </c>
    </row>
    <row r="4">
      <c r="A4" s="4" t="inlineStr">
        <is>
          <t>A1020</t>
        </is>
      </c>
      <c r="B4" s="4" t="inlineStr">
        <is>
          <t>Cốp pha, cốt thép sàn tầng 3</t>
        </is>
      </c>
      <c r="C4" s="6">
        <v>15</v>
      </c>
      <c r="D4" s="12">
        <v>46279</v>
      </c>
      <c r="E4" s="12">
        <v>46295</v>
      </c>
      <c r="F4" s="4" t="inlineStr">
        <is>
          <t>A1010</t>
        </is>
      </c>
      <c r="G4" s="12">
        <v>46279</v>
      </c>
      <c r="H4" s="4"/>
      <c r="I4" s="13">
        <v>0.75</v>
      </c>
      <c r="J4" s="14">
        <v>6</v>
      </c>
    </row>
    <row r="5">
      <c r="A5" s="4" t="inlineStr">
        <is>
          <t>A1030</t>
        </is>
      </c>
      <c r="B5" s="4" t="inlineStr">
        <is>
          <t>Bê tông dầm sàn tầng 3</t>
        </is>
      </c>
      <c r="C5" s="6">
        <v>2</v>
      </c>
      <c r="D5" s="12">
        <v>46296</v>
      </c>
      <c r="E5" s="12">
        <v>46297</v>
      </c>
      <c r="F5" s="4" t="inlineStr">
        <is>
          <t>A1020</t>
        </is>
      </c>
      <c r="G5" s="4"/>
      <c r="H5" s="4"/>
      <c r="I5" s="13">
        <v>0</v>
      </c>
      <c r="J5" s="14">
        <v>6</v>
      </c>
    </row>
    <row r="6">
      <c r="A6" s="4" t="inlineStr">
        <is>
          <t>A1040</t>
        </is>
      </c>
      <c r="B6" s="4" t="inlineStr">
        <is>
          <t>Cốt thép, cốp pha cột tầng 4</t>
        </is>
      </c>
      <c r="C6" s="6">
        <v>6</v>
      </c>
      <c r="D6" s="12">
        <v>46300</v>
      </c>
      <c r="E6" s="12">
        <v>46305</v>
      </c>
      <c r="F6" s="4" t="inlineStr">
        <is>
          <t>A1030FS+2</t>
        </is>
      </c>
      <c r="G6" s="4"/>
      <c r="H6" s="4"/>
      <c r="I6" s="13">
        <v>0</v>
      </c>
      <c r="J6" s="14">
        <v>6</v>
      </c>
    </row>
    <row r="7">
      <c r="A7" s="4" t="inlineStr">
        <is>
          <t>A2010</t>
        </is>
      </c>
      <c r="B7" s="4" t="inlineStr">
        <is>
          <t>Xây tường tầng 1</t>
        </is>
      </c>
      <c r="C7" s="6">
        <v>18</v>
      </c>
      <c r="D7" s="12">
        <v>46279</v>
      </c>
      <c r="E7" s="12">
        <v>46298</v>
      </c>
      <c r="F7" s="4" t="inlineStr">
        <is>
          <t>A1010</t>
        </is>
      </c>
      <c r="G7" s="12">
        <v>46279</v>
      </c>
      <c r="H7" s="4"/>
      <c r="I7" s="13">
        <v>0.55</v>
      </c>
      <c r="J7" s="14">
        <v>0</v>
      </c>
    </row>
    <row r="8">
      <c r="A8" s="4" t="inlineStr">
        <is>
          <t>A2020</t>
        </is>
      </c>
      <c r="B8" s="4" t="inlineStr">
        <is>
          <t>Xây tường tầng 2</t>
        </is>
      </c>
      <c r="C8" s="6">
        <v>12</v>
      </c>
      <c r="D8" s="12">
        <v>46300</v>
      </c>
      <c r="E8" s="12">
        <v>46312</v>
      </c>
      <c r="F8" s="4" t="inlineStr">
        <is>
          <t>A2010</t>
        </is>
      </c>
      <c r="G8" s="4"/>
      <c r="H8" s="4"/>
      <c r="I8" s="13">
        <v>0</v>
      </c>
      <c r="J8" s="14">
        <v>0</v>
      </c>
    </row>
    <row r="9">
      <c r="A9" s="4" t="inlineStr">
        <is>
          <t>A3010</t>
        </is>
      </c>
      <c r="B9" s="4" t="inlineStr">
        <is>
          <t>Lắp ống cấp thoát nước tầng 1</t>
        </is>
      </c>
      <c r="C9" s="6">
        <v>11</v>
      </c>
      <c r="D9" s="12">
        <v>46286</v>
      </c>
      <c r="E9" s="12">
        <v>46297</v>
      </c>
      <c r="F9" s="4" t="inlineStr">
        <is>
          <t>A2010SS+6</t>
        </is>
      </c>
      <c r="G9" s="12">
        <v>46286</v>
      </c>
      <c r="H9" s="4"/>
      <c r="I9" s="13">
        <v>0.3</v>
      </c>
      <c r="J9" s="14">
        <v>12</v>
      </c>
    </row>
    <row r="10">
      <c r="A10" s="4" t="inlineStr">
        <is>
          <t>A3020</t>
        </is>
      </c>
      <c r="B10" s="4" t="inlineStr">
        <is>
          <t>Đi dây điện âm tường tầng 1</t>
        </is>
      </c>
      <c r="C10" s="6">
        <v>6</v>
      </c>
      <c r="D10" s="12">
        <v>46293</v>
      </c>
      <c r="E10" s="12">
        <v>46298</v>
      </c>
      <c r="F10" s="4" t="inlineStr">
        <is>
          <t>A3010SS+6</t>
        </is>
      </c>
      <c r="G10" s="12">
        <v>46293</v>
      </c>
      <c r="H10" s="4"/>
      <c r="I10" s="13">
        <v>0.1</v>
      </c>
      <c r="J10" s="14">
        <v>12</v>
      </c>
    </row>
  </sheetData>
  <hyperlinks>
    <hyperlink ref="L1" location="'Mục lục'!A19" display="← Mục lục"/>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J10"/>
  <sheetViews>
    <sheetView workbookViewId="0">
      <selection activeCell="H4" sqref="H4"/>
    </sheetView>
  </sheetViews>
  <sheetFormatPr defaultRowHeight="15"/>
  <cols>
    <col min="1" max="1" width="7.00" customWidth="1"/>
    <col min="2" max="2" width="25.00" customWidth="1"/>
    <col min="3" max="3" width="8.00" customWidth="1"/>
    <col min="4" max="4" width="10.00" customWidth="1"/>
    <col min="5" max="5" width="10.00" customWidth="1"/>
    <col min="6" max="6" width="9.00" customWidth="1"/>
    <col min="7" max="7" width="13.00" customWidth="1"/>
    <col min="8" max="8" width="13.00" customWidth="1"/>
    <col min="10" max="10" width="12.00" customWidth="1"/>
  </cols>
  <sheetData>
    <row r="1">
      <c r="A1" s="1" t="inlineStr">
        <is>
          <t>TIẾN ĐỘ THI CÔNG — NHÀ VĂN PHÒNG 9 TẦNG</t>
        </is>
      </c>
      <c r="J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Hoàn thành (%)</t>
        </is>
      </c>
      <c r="G2" s="2" t="inlineStr">
        <is>
          <t>BAC</t>
        </is>
      </c>
      <c r="H2" s="2" t="inlineStr">
        <is>
          <t>AC</t>
        </is>
      </c>
    </row>
    <row r="3">
      <c r="A3" s="4" t="inlineStr">
        <is>
          <t>A1010</t>
        </is>
      </c>
      <c r="B3" s="4" t="inlineStr">
        <is>
          <t>Bê tông cột tầng 3</t>
        </is>
      </c>
      <c r="C3" s="6">
        <v>6</v>
      </c>
      <c r="D3" s="12">
        <v>46272</v>
      </c>
      <c r="E3" s="12">
        <v>46277</v>
      </c>
      <c r="F3" s="13">
        <v>1</v>
      </c>
      <c r="G3" s="15">
        <v>420000000</v>
      </c>
      <c r="H3" s="15">
        <v>436000000</v>
      </c>
    </row>
    <row r="4">
      <c r="A4" s="4" t="inlineStr">
        <is>
          <t>A1020</t>
        </is>
      </c>
      <c r="B4" s="4" t="inlineStr">
        <is>
          <t>Cốp pha, cốt thép sàn tầng 3</t>
        </is>
      </c>
      <c r="C4" s="6">
        <v>15</v>
      </c>
      <c r="D4" s="12">
        <v>46279</v>
      </c>
      <c r="E4" s="12">
        <v>46295</v>
      </c>
      <c r="F4" s="13">
        <v>0.75</v>
      </c>
      <c r="G4" s="15">
        <v>1250000000</v>
      </c>
      <c r="H4" s="15">
        <v>1010000000</v>
      </c>
    </row>
    <row r="5">
      <c r="A5" s="4" t="inlineStr">
        <is>
          <t>A1030</t>
        </is>
      </c>
      <c r="B5" s="4" t="inlineStr">
        <is>
          <t>Bê tông dầm sàn tầng 3</t>
        </is>
      </c>
      <c r="C5" s="6">
        <v>2</v>
      </c>
      <c r="D5" s="12">
        <v>46296</v>
      </c>
      <c r="E5" s="12">
        <v>46297</v>
      </c>
      <c r="F5" s="13">
        <v>0</v>
      </c>
      <c r="G5" s="15">
        <v>980000000</v>
      </c>
      <c r="H5" s="4"/>
    </row>
    <row r="6">
      <c r="A6" s="4" t="inlineStr">
        <is>
          <t>A1040</t>
        </is>
      </c>
      <c r="B6" s="4" t="inlineStr">
        <is>
          <t>Cốt thép, cốp pha cột tầng 4</t>
        </is>
      </c>
      <c r="C6" s="6">
        <v>6</v>
      </c>
      <c r="D6" s="12">
        <v>46300</v>
      </c>
      <c r="E6" s="12">
        <v>46305</v>
      </c>
      <c r="F6" s="13">
        <v>0</v>
      </c>
      <c r="G6" s="15">
        <v>510000000</v>
      </c>
      <c r="H6" s="4"/>
    </row>
    <row r="7">
      <c r="A7" s="4" t="inlineStr">
        <is>
          <t>A2010</t>
        </is>
      </c>
      <c r="B7" s="4" t="inlineStr">
        <is>
          <t>Xây tường tầng 1</t>
        </is>
      </c>
      <c r="C7" s="6">
        <v>18</v>
      </c>
      <c r="D7" s="12">
        <v>46279</v>
      </c>
      <c r="E7" s="12">
        <v>46298</v>
      </c>
      <c r="F7" s="13">
        <v>0.55</v>
      </c>
      <c r="G7" s="15">
        <v>640000000</v>
      </c>
      <c r="H7" s="15">
        <v>372000000</v>
      </c>
    </row>
    <row r="8">
      <c r="A8" s="4" t="inlineStr">
        <is>
          <t>A2020</t>
        </is>
      </c>
      <c r="B8" s="4" t="inlineStr">
        <is>
          <t>Xây tường tầng 2</t>
        </is>
      </c>
      <c r="C8" s="6">
        <v>12</v>
      </c>
      <c r="D8" s="12">
        <v>46300</v>
      </c>
      <c r="E8" s="12">
        <v>46312</v>
      </c>
      <c r="F8" s="13">
        <v>0</v>
      </c>
      <c r="G8" s="15">
        <v>610000000</v>
      </c>
      <c r="H8" s="4"/>
    </row>
    <row r="9">
      <c r="A9" s="4" t="inlineStr">
        <is>
          <t>A3010</t>
        </is>
      </c>
      <c r="B9" s="4" t="inlineStr">
        <is>
          <t>Lắp ống cấp thoát nước tầng 1</t>
        </is>
      </c>
      <c r="C9" s="6">
        <v>11</v>
      </c>
      <c r="D9" s="12">
        <v>46286</v>
      </c>
      <c r="E9" s="12">
        <v>46297</v>
      </c>
      <c r="F9" s="13">
        <v>0.3</v>
      </c>
      <c r="G9" s="15">
        <v>360000000</v>
      </c>
      <c r="H9" s="15">
        <v>126000000</v>
      </c>
    </row>
    <row r="10">
      <c r="A10" s="4" t="inlineStr">
        <is>
          <t>A3020</t>
        </is>
      </c>
      <c r="B10" s="4" t="inlineStr">
        <is>
          <t>Đi dây điện âm tường tầng 1</t>
        </is>
      </c>
      <c r="C10" s="6">
        <v>6</v>
      </c>
      <c r="D10" s="12">
        <v>46293</v>
      </c>
      <c r="E10" s="12">
        <v>46298</v>
      </c>
      <c r="F10" s="13">
        <v>0.1</v>
      </c>
      <c r="G10" s="15">
        <v>240000000</v>
      </c>
      <c r="H10" s="15">
        <v>30000000</v>
      </c>
    </row>
  </sheetData>
  <hyperlinks>
    <hyperlink ref="J1" location="'Mục lục'!A20" display="← Mục lục"/>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10"/>
  <sheetViews>
    <sheetView workbookViewId="0">
      <selection activeCell="F4" sqref="F4"/>
    </sheetView>
  </sheetViews>
  <sheetFormatPr defaultRowHeight="15"/>
  <cols>
    <col min="1" max="1" width="7.00" customWidth="1"/>
    <col min="2" max="2" width="23.00" customWidth="1"/>
    <col min="3" max="3" width="8.00" customWidth="1"/>
    <col min="4" max="4" width="10.00" customWidth="1"/>
    <col min="5" max="5" width="10.00" customWidth="1"/>
    <col min="6" max="6" width="10.00" customWidth="1"/>
    <col min="7" max="7" width="10.00" customWidth="1"/>
    <col min="8" max="8" width="9.00" customWidth="1"/>
    <col min="9" max="9" width="13.00" customWidth="1"/>
    <col min="10" max="10" width="13.00" customWidth="1"/>
    <col min="12" max="12" width="12.00" customWidth="1"/>
  </cols>
  <sheetData>
    <row r="1">
      <c r="A1" s="1" t="inlineStr">
        <is>
          <t>TIẾN ĐỘ THI CÔNG — NHÀ VĂN PHÒNG 9 TẦNG</t>
        </is>
      </c>
      <c r="L1" s="105" t="inlineStr">
        <is>
          <t>← Mục lục</t>
        </is>
      </c>
    </row>
    <row r="2" ht="39.00" customHeight="1">
      <c r="A2" s="2" t="inlineStr">
        <is>
          <t>Mã công tác</t>
        </is>
      </c>
      <c r="B2" s="2" t="inlineStr">
        <is>
          <t>Tên công tác</t>
        </is>
      </c>
      <c r="C2" s="2" t="inlineStr">
        <is>
          <t>Thời lượng</t>
        </is>
      </c>
      <c r="D2" s="2" t="inlineStr">
        <is>
          <t>Bắt đầu</t>
        </is>
      </c>
      <c r="E2" s="2" t="inlineStr">
        <is>
          <t>Kết thúc</t>
        </is>
      </c>
      <c r="F2" s="2" t="inlineStr">
        <is>
          <t>Bắt đầu thực tế</t>
        </is>
      </c>
      <c r="G2" s="2" t="inlineStr">
        <is>
          <t>Kết thúc thực tế</t>
        </is>
      </c>
      <c r="H2" s="2" t="inlineStr">
        <is>
          <t>Hoàn thành (%)</t>
        </is>
      </c>
      <c r="I2" s="2" t="inlineStr">
        <is>
          <t>BAC</t>
        </is>
      </c>
      <c r="J2" s="2" t="inlineStr">
        <is>
          <t>AC</t>
        </is>
      </c>
    </row>
    <row r="3">
      <c r="A3" s="4" t="inlineStr">
        <is>
          <t>A1010</t>
        </is>
      </c>
      <c r="B3" s="4" t="inlineStr">
        <is>
          <t>Bê tông cột tầng 3</t>
        </is>
      </c>
      <c r="C3" s="6">
        <v>6</v>
      </c>
      <c r="D3" s="12">
        <v>46272</v>
      </c>
      <c r="E3" s="12">
        <v>46277</v>
      </c>
      <c r="F3" s="12">
        <v>46272</v>
      </c>
      <c r="G3" s="12">
        <v>46277</v>
      </c>
      <c r="H3" s="13">
        <v>1</v>
      </c>
      <c r="I3" s="15">
        <v>420000000</v>
      </c>
      <c r="J3" s="15">
        <v>436000000</v>
      </c>
    </row>
    <row r="4">
      <c r="A4" s="4" t="inlineStr">
        <is>
          <t>A1020</t>
        </is>
      </c>
      <c r="B4" s="4" t="inlineStr">
        <is>
          <t>Cốp pha, cốt thép sàn tầng 3</t>
        </is>
      </c>
      <c r="C4" s="6">
        <v>15</v>
      </c>
      <c r="D4" s="12">
        <v>46279</v>
      </c>
      <c r="E4" s="12">
        <v>46295</v>
      </c>
      <c r="F4" s="12">
        <v>46279</v>
      </c>
      <c r="G4" s="4"/>
      <c r="H4" s="13">
        <v>0.75</v>
      </c>
      <c r="I4" s="15">
        <v>1250000000</v>
      </c>
      <c r="J4" s="15">
        <v>1010000000</v>
      </c>
    </row>
    <row r="5">
      <c r="A5" s="4" t="inlineStr">
        <is>
          <t>A1030</t>
        </is>
      </c>
      <c r="B5" s="4" t="inlineStr">
        <is>
          <t>Bê tông dầm sàn tầng 3</t>
        </is>
      </c>
      <c r="C5" s="6">
        <v>2</v>
      </c>
      <c r="D5" s="12">
        <v>46296</v>
      </c>
      <c r="E5" s="12">
        <v>46297</v>
      </c>
      <c r="F5" s="4"/>
      <c r="G5" s="4"/>
      <c r="H5" s="13">
        <v>0</v>
      </c>
      <c r="I5" s="15">
        <v>980000000</v>
      </c>
      <c r="J5" s="4"/>
    </row>
    <row r="6">
      <c r="A6" s="4" t="inlineStr">
        <is>
          <t>A1040</t>
        </is>
      </c>
      <c r="B6" s="4" t="inlineStr">
        <is>
          <t>Cốt thép, cốp pha cột tầng 4</t>
        </is>
      </c>
      <c r="C6" s="6">
        <v>6</v>
      </c>
      <c r="D6" s="12">
        <v>46300</v>
      </c>
      <c r="E6" s="12">
        <v>46305</v>
      </c>
      <c r="F6" s="4"/>
      <c r="G6" s="4"/>
      <c r="H6" s="13">
        <v>0</v>
      </c>
      <c r="I6" s="15">
        <v>510000000</v>
      </c>
      <c r="J6" s="4"/>
    </row>
    <row r="7">
      <c r="A7" s="4" t="inlineStr">
        <is>
          <t>A2010</t>
        </is>
      </c>
      <c r="B7" s="4" t="inlineStr">
        <is>
          <t>Xây tường tầng 1</t>
        </is>
      </c>
      <c r="C7" s="6">
        <v>18</v>
      </c>
      <c r="D7" s="12">
        <v>46279</v>
      </c>
      <c r="E7" s="12">
        <v>46298</v>
      </c>
      <c r="F7" s="12">
        <v>46279</v>
      </c>
      <c r="G7" s="4"/>
      <c r="H7" s="13">
        <v>0.55</v>
      </c>
      <c r="I7" s="15">
        <v>640000000</v>
      </c>
      <c r="J7" s="15">
        <v>372000000</v>
      </c>
    </row>
    <row r="8">
      <c r="A8" s="4" t="inlineStr">
        <is>
          <t>A2020</t>
        </is>
      </c>
      <c r="B8" s="4" t="inlineStr">
        <is>
          <t>Xây tường tầng 2</t>
        </is>
      </c>
      <c r="C8" s="6">
        <v>12</v>
      </c>
      <c r="D8" s="12">
        <v>46300</v>
      </c>
      <c r="E8" s="12">
        <v>46312</v>
      </c>
      <c r="F8" s="4"/>
      <c r="G8" s="4"/>
      <c r="H8" s="13">
        <v>0</v>
      </c>
      <c r="I8" s="15">
        <v>610000000</v>
      </c>
      <c r="J8" s="4"/>
    </row>
    <row r="9">
      <c r="A9" s="4" t="inlineStr">
        <is>
          <t>A3010</t>
        </is>
      </c>
      <c r="B9" s="4" t="inlineStr">
        <is>
          <t>Lắp ống cấp thoát nước tầng 1</t>
        </is>
      </c>
      <c r="C9" s="6">
        <v>11</v>
      </c>
      <c r="D9" s="12">
        <v>46286</v>
      </c>
      <c r="E9" s="12">
        <v>46297</v>
      </c>
      <c r="F9" s="12">
        <v>46286</v>
      </c>
      <c r="G9" s="4"/>
      <c r="H9" s="13">
        <v>0.3</v>
      </c>
      <c r="I9" s="15">
        <v>360000000</v>
      </c>
      <c r="J9" s="15">
        <v>126000000</v>
      </c>
    </row>
    <row r="10">
      <c r="A10" s="4" t="inlineStr">
        <is>
          <t>A3020</t>
        </is>
      </c>
      <c r="B10" s="4" t="inlineStr">
        <is>
          <t>Đi dây điện âm tường tầng 1</t>
        </is>
      </c>
      <c r="C10" s="6">
        <v>6</v>
      </c>
      <c r="D10" s="12">
        <v>46293</v>
      </c>
      <c r="E10" s="12">
        <v>46298</v>
      </c>
      <c r="F10" s="12">
        <v>46293</v>
      </c>
      <c r="G10" s="4"/>
      <c r="H10" s="13">
        <v>0.1</v>
      </c>
      <c r="I10" s="15">
        <v>240000000</v>
      </c>
      <c r="J10" s="15">
        <v>30000000</v>
      </c>
    </row>
  </sheetData>
  <hyperlinks>
    <hyperlink ref="L1" location="'Mục lục'!A21" display="← Mục lục"/>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J11"/>
  <sheetViews>
    <sheetView workbookViewId="0">
      <selection activeCell="F9" sqref="F9"/>
    </sheetView>
  </sheetViews>
  <sheetFormatPr defaultRowHeight="15"/>
  <cols>
    <col min="1" max="1" width="7.00" customWidth="1"/>
    <col min="2" max="2" width="25.00" customWidth="1"/>
    <col min="3" max="3" width="8.00" customWidth="1"/>
    <col min="4" max="4" width="10.00" customWidth="1"/>
    <col min="5" max="5" width="10.00" customWidth="1"/>
    <col min="6" max="6" width="10.00" customWidth="1"/>
    <col min="7" max="7" width="10.00" customWidth="1"/>
    <col min="8" max="8" width="9.00" customWidth="1"/>
    <col min="10" max="10" width="12.00" customWidth="1"/>
  </cols>
  <sheetData>
    <row r="1">
      <c r="A1" s="1" t="inlineStr">
        <is>
          <t>TIẾN ĐỘ THI CÔNG — NHÀ VĂN PHÒNG 9 TẦNG</t>
        </is>
      </c>
      <c r="J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Bắt đầu thực tế</t>
        </is>
      </c>
      <c r="G2" s="2" t="inlineStr">
        <is>
          <t>Kết thúc thực tế</t>
        </is>
      </c>
      <c r="H2" s="2" t="inlineStr">
        <is>
          <t>Hoàn thành (%)</t>
        </is>
      </c>
    </row>
    <row r="3">
      <c r="A3" s="4" t="inlineStr">
        <is>
          <t>A1010</t>
        </is>
      </c>
      <c r="B3" s="4" t="inlineStr">
        <is>
          <t>Bê tông cột tầng 3</t>
        </is>
      </c>
      <c r="C3" s="6">
        <v>6</v>
      </c>
      <c r="D3" s="12">
        <v>46272</v>
      </c>
      <c r="E3" s="12">
        <v>46277</v>
      </c>
      <c r="F3" s="12">
        <v>46272</v>
      </c>
      <c r="G3" s="12">
        <v>46277</v>
      </c>
      <c r="H3" s="13">
        <v>1</v>
      </c>
    </row>
    <row r="4">
      <c r="A4" s="4" t="inlineStr">
        <is>
          <t>A1020</t>
        </is>
      </c>
      <c r="B4" s="4" t="inlineStr">
        <is>
          <t>Cốp pha, cốt thép sàn tầng 3</t>
        </is>
      </c>
      <c r="C4" s="6">
        <v>15</v>
      </c>
      <c r="D4" s="12">
        <v>46279</v>
      </c>
      <c r="E4" s="12">
        <v>46295</v>
      </c>
      <c r="F4" s="12">
        <v>46279</v>
      </c>
      <c r="G4" s="4"/>
      <c r="H4" s="13">
        <v>0.75</v>
      </c>
    </row>
    <row r="5">
      <c r="A5" s="4" t="inlineStr">
        <is>
          <t>A1030</t>
        </is>
      </c>
      <c r="B5" s="4" t="inlineStr">
        <is>
          <t>Bê tông dầm sàn tầng 3</t>
        </is>
      </c>
      <c r="C5" s="6">
        <v>2</v>
      </c>
      <c r="D5" s="12">
        <v>46296</v>
      </c>
      <c r="E5" s="12">
        <v>46297</v>
      </c>
      <c r="F5" s="4"/>
      <c r="G5" s="4"/>
      <c r="H5" s="13">
        <v>0</v>
      </c>
    </row>
    <row r="6">
      <c r="A6" s="4" t="inlineStr">
        <is>
          <t>A1040</t>
        </is>
      </c>
      <c r="B6" s="4" t="inlineStr">
        <is>
          <t>Cốt thép, cốp pha cột tầng 4</t>
        </is>
      </c>
      <c r="C6" s="6">
        <v>6</v>
      </c>
      <c r="D6" s="12">
        <v>46300</v>
      </c>
      <c r="E6" s="12">
        <v>46305</v>
      </c>
      <c r="F6" s="4"/>
      <c r="G6" s="4"/>
      <c r="H6" s="13">
        <v>0</v>
      </c>
    </row>
    <row r="7">
      <c r="A7" s="4" t="inlineStr">
        <is>
          <t>A2010</t>
        </is>
      </c>
      <c r="B7" s="4" t="inlineStr">
        <is>
          <t>Xây tường tầng 1</t>
        </is>
      </c>
      <c r="C7" s="6">
        <v>18</v>
      </c>
      <c r="D7" s="12">
        <v>46279</v>
      </c>
      <c r="E7" s="12">
        <v>46298</v>
      </c>
      <c r="F7" s="12">
        <v>46279</v>
      </c>
      <c r="G7" s="4"/>
      <c r="H7" s="13">
        <v>0.55</v>
      </c>
    </row>
    <row r="8">
      <c r="A8" s="4" t="inlineStr">
        <is>
          <t>A2020</t>
        </is>
      </c>
      <c r="B8" s="4" t="inlineStr">
        <is>
          <t>Xây tường tầng 2</t>
        </is>
      </c>
      <c r="C8" s="6">
        <v>12</v>
      </c>
      <c r="D8" s="12">
        <v>46300</v>
      </c>
      <c r="E8" s="12">
        <v>46312</v>
      </c>
      <c r="F8" s="4"/>
      <c r="G8" s="4"/>
      <c r="H8" s="13">
        <v>0</v>
      </c>
    </row>
    <row r="9">
      <c r="A9" s="4" t="inlineStr">
        <is>
          <t>A3005</t>
        </is>
      </c>
      <c r="B9" s="4" t="inlineStr">
        <is>
          <t>Đặt ống chờ M&amp;E sàn tầng 2</t>
        </is>
      </c>
      <c r="C9" s="6">
        <v>8</v>
      </c>
      <c r="D9" s="12">
        <v>46275</v>
      </c>
      <c r="E9" s="12">
        <v>46283</v>
      </c>
      <c r="F9" s="12">
        <v>46275</v>
      </c>
      <c r="G9" s="4"/>
      <c r="H9" s="13">
        <v>0.8</v>
      </c>
    </row>
    <row r="10">
      <c r="A10" s="4" t="inlineStr">
        <is>
          <t>A3010</t>
        </is>
      </c>
      <c r="B10" s="4" t="inlineStr">
        <is>
          <t>Lắp ống cấp thoát nước tầng 1</t>
        </is>
      </c>
      <c r="C10" s="6">
        <v>11</v>
      </c>
      <c r="D10" s="12">
        <v>46286</v>
      </c>
      <c r="E10" s="12">
        <v>46297</v>
      </c>
      <c r="F10" s="12">
        <v>46286</v>
      </c>
      <c r="G10" s="4"/>
      <c r="H10" s="13">
        <v>0.3</v>
      </c>
    </row>
    <row r="11">
      <c r="A11" s="4" t="inlineStr">
        <is>
          <t>A3020</t>
        </is>
      </c>
      <c r="B11" s="4" t="inlineStr">
        <is>
          <t>Đi dây điện âm tường tầng 1</t>
        </is>
      </c>
      <c r="C11" s="6">
        <v>6</v>
      </c>
      <c r="D11" s="12">
        <v>46293</v>
      </c>
      <c r="E11" s="12">
        <v>46298</v>
      </c>
      <c r="F11" s="12">
        <v>46293</v>
      </c>
      <c r="G11" s="4"/>
      <c r="H11" s="13">
        <v>0.1</v>
      </c>
    </row>
  </sheetData>
  <hyperlinks>
    <hyperlink ref="J1" location="'Mục lục'!A22" display="← Mục lục"/>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11"/>
  <sheetViews>
    <sheetView workbookViewId="0">
      <selection activeCell="F9" sqref="F9"/>
    </sheetView>
  </sheetViews>
  <sheetFormatPr defaultRowHeight="15"/>
  <cols>
    <col min="1" max="1" width="7.00" customWidth="1"/>
    <col min="2" max="2" width="25.00" customWidth="1"/>
    <col min="3" max="3" width="8.00" customWidth="1"/>
    <col min="4" max="4" width="10.00" customWidth="1"/>
    <col min="5" max="5" width="10.00" customWidth="1"/>
    <col min="6" max="6" width="10.00" customWidth="1"/>
    <col min="7" max="7" width="10.00" customWidth="1"/>
    <col min="8" max="8" width="9.00" customWidth="1"/>
    <col min="10" max="10" width="12.00" customWidth="1"/>
  </cols>
  <sheetData>
    <row r="1">
      <c r="A1" s="1" t="inlineStr">
        <is>
          <t>TIẾN ĐỘ THI CÔNG — NHÀ VĂN PHÒNG 9 TẦNG</t>
        </is>
      </c>
      <c r="J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Bắt đầu thực tế</t>
        </is>
      </c>
      <c r="G2" s="2" t="inlineStr">
        <is>
          <t>Kết thúc thực tế</t>
        </is>
      </c>
      <c r="H2" s="2" t="inlineStr">
        <is>
          <t>Hoàn thành (%)</t>
        </is>
      </c>
    </row>
    <row r="3">
      <c r="A3" s="4" t="inlineStr">
        <is>
          <t>A1010</t>
        </is>
      </c>
      <c r="B3" s="4" t="inlineStr">
        <is>
          <t>Bê tông cột tầng 3</t>
        </is>
      </c>
      <c r="C3" s="6">
        <v>6</v>
      </c>
      <c r="D3" s="12">
        <v>46272</v>
      </c>
      <c r="E3" s="12">
        <v>46277</v>
      </c>
      <c r="F3" s="12">
        <v>46272</v>
      </c>
      <c r="G3" s="12">
        <v>46277</v>
      </c>
      <c r="H3" s="13">
        <v>1</v>
      </c>
    </row>
    <row r="4">
      <c r="A4" s="4" t="inlineStr">
        <is>
          <t>A1020</t>
        </is>
      </c>
      <c r="B4" s="4" t="inlineStr">
        <is>
          <t>Cốp pha, cốt thép sàn tầng 3</t>
        </is>
      </c>
      <c r="C4" s="6">
        <v>15</v>
      </c>
      <c r="D4" s="12">
        <v>46279</v>
      </c>
      <c r="E4" s="12">
        <v>46295</v>
      </c>
      <c r="F4" s="12">
        <v>46279</v>
      </c>
      <c r="G4" s="4"/>
      <c r="H4" s="13">
        <v>0.75</v>
      </c>
    </row>
    <row r="5">
      <c r="A5" s="4" t="inlineStr">
        <is>
          <t>A1030</t>
        </is>
      </c>
      <c r="B5" s="4" t="inlineStr">
        <is>
          <t>Bê tông dầm sàn tầng 3</t>
        </is>
      </c>
      <c r="C5" s="6">
        <v>2</v>
      </c>
      <c r="D5" s="12">
        <v>46296</v>
      </c>
      <c r="E5" s="12">
        <v>46297</v>
      </c>
      <c r="F5" s="4"/>
      <c r="G5" s="4"/>
      <c r="H5" s="13">
        <v>0</v>
      </c>
    </row>
    <row r="6">
      <c r="A6" s="4" t="inlineStr">
        <is>
          <t>A1040</t>
        </is>
      </c>
      <c r="B6" s="4" t="inlineStr">
        <is>
          <t>Cốt thép, cốp pha cột tầng 4</t>
        </is>
      </c>
      <c r="C6" s="6">
        <v>6</v>
      </c>
      <c r="D6" s="12">
        <v>46300</v>
      </c>
      <c r="E6" s="12">
        <v>46305</v>
      </c>
      <c r="F6" s="4"/>
      <c r="G6" s="4"/>
      <c r="H6" s="13">
        <v>0</v>
      </c>
    </row>
    <row r="7">
      <c r="A7" s="4" t="inlineStr">
        <is>
          <t>A2010</t>
        </is>
      </c>
      <c r="B7" s="4" t="inlineStr">
        <is>
          <t>Xây tường tầng 1</t>
        </is>
      </c>
      <c r="C7" s="6">
        <v>18</v>
      </c>
      <c r="D7" s="12">
        <v>46279</v>
      </c>
      <c r="E7" s="12">
        <v>46298</v>
      </c>
      <c r="F7" s="12">
        <v>46279</v>
      </c>
      <c r="G7" s="4"/>
      <c r="H7" s="13">
        <v>0.55</v>
      </c>
    </row>
    <row r="8">
      <c r="A8" s="4" t="inlineStr">
        <is>
          <t>A2020</t>
        </is>
      </c>
      <c r="B8" s="4" t="inlineStr">
        <is>
          <t>Xây tường tầng 2</t>
        </is>
      </c>
      <c r="C8" s="6">
        <v>12</v>
      </c>
      <c r="D8" s="12">
        <v>46300</v>
      </c>
      <c r="E8" s="12">
        <v>46312</v>
      </c>
      <c r="F8" s="4"/>
      <c r="G8" s="4"/>
      <c r="H8" s="13">
        <v>0</v>
      </c>
    </row>
    <row r="9">
      <c r="A9" s="4" t="inlineStr">
        <is>
          <t>A3005</t>
        </is>
      </c>
      <c r="B9" s="4" t="inlineStr">
        <is>
          <t>Đặt ống chờ M&amp;E sàn tầng 2</t>
        </is>
      </c>
      <c r="C9" s="6">
        <v>8</v>
      </c>
      <c r="D9" s="12">
        <v>46275</v>
      </c>
      <c r="E9" s="12">
        <v>46283</v>
      </c>
      <c r="F9" s="12">
        <v>46275</v>
      </c>
      <c r="G9" s="4"/>
      <c r="H9" s="13">
        <v>0.8</v>
      </c>
    </row>
    <row r="10">
      <c r="A10" s="4" t="inlineStr">
        <is>
          <t>A3010</t>
        </is>
      </c>
      <c r="B10" s="4" t="inlineStr">
        <is>
          <t>Lắp ống cấp thoát nước tầng 1</t>
        </is>
      </c>
      <c r="C10" s="6">
        <v>11</v>
      </c>
      <c r="D10" s="12">
        <v>46286</v>
      </c>
      <c r="E10" s="12">
        <v>46297</v>
      </c>
      <c r="F10" s="12">
        <v>46286</v>
      </c>
      <c r="G10" s="4"/>
      <c r="H10" s="13">
        <v>0.3</v>
      </c>
    </row>
    <row r="11">
      <c r="A11" s="4" t="inlineStr">
        <is>
          <t>A3020</t>
        </is>
      </c>
      <c r="B11" s="4" t="inlineStr">
        <is>
          <t>Đi dây điện âm tường tầng 1</t>
        </is>
      </c>
      <c r="C11" s="6">
        <v>6</v>
      </c>
      <c r="D11" s="12">
        <v>46293</v>
      </c>
      <c r="E11" s="12">
        <v>46298</v>
      </c>
      <c r="F11" s="12">
        <v>46293</v>
      </c>
      <c r="G11" s="4"/>
      <c r="H11" s="13">
        <v>0.1</v>
      </c>
    </row>
  </sheetData>
  <hyperlinks>
    <hyperlink ref="J1" location="'Mục lục'!A23" display="← Mục lục"/>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H10"/>
  <sheetViews>
    <sheetView workbookViewId="0">
      <selection activeCell="A3" sqref="A3"/>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8" max="8" width="12.00" customWidth="1"/>
  </cols>
  <sheetData>
    <row r="1">
      <c r="A1" s="1" t="inlineStr">
        <is>
          <t>TIẾN ĐỘ THI CÔNG — NHÀ VĂN PHÒNG 9 TẦNG</t>
        </is>
      </c>
      <c r="H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row>
    <row r="3">
      <c r="A3" s="4" t="inlineStr">
        <is>
          <t>A1010</t>
        </is>
      </c>
      <c r="B3" s="4" t="inlineStr">
        <is>
          <t>Bê tông cột tầng 3</t>
        </is>
      </c>
      <c r="C3" s="6">
        <v>6</v>
      </c>
      <c r="D3" s="12">
        <v>46272</v>
      </c>
      <c r="E3" s="12">
        <v>46277</v>
      </c>
      <c r="F3" s="4"/>
    </row>
    <row r="4">
      <c r="A4" s="4" t="inlineStr">
        <is>
          <t>A1020</t>
        </is>
      </c>
      <c r="B4" s="4" t="inlineStr">
        <is>
          <t>Cốp pha, cốt thép sàn tầng 3</t>
        </is>
      </c>
      <c r="C4" s="6">
        <v>15</v>
      </c>
      <c r="D4" s="12">
        <v>46279</v>
      </c>
      <c r="E4" s="12">
        <v>46295</v>
      </c>
      <c r="F4" s="4" t="inlineStr">
        <is>
          <t>A1010</t>
        </is>
      </c>
    </row>
    <row r="5">
      <c r="A5" s="4" t="inlineStr">
        <is>
          <t>A1030</t>
        </is>
      </c>
      <c r="B5" s="4" t="inlineStr">
        <is>
          <t>Bê tông dầm sàn tầng 3</t>
        </is>
      </c>
      <c r="C5" s="6">
        <v>2</v>
      </c>
      <c r="D5" s="12">
        <v>46296</v>
      </c>
      <c r="E5" s="12">
        <v>46297</v>
      </c>
      <c r="F5" s="4" t="inlineStr">
        <is>
          <t>A1020</t>
        </is>
      </c>
    </row>
    <row r="6">
      <c r="A6" s="4" t="inlineStr">
        <is>
          <t>A1040</t>
        </is>
      </c>
      <c r="B6" s="4" t="inlineStr">
        <is>
          <t>Cốt thép, cốp pha cột tầng 4</t>
        </is>
      </c>
      <c r="C6" s="6">
        <v>6</v>
      </c>
      <c r="D6" s="12">
        <v>46300</v>
      </c>
      <c r="E6" s="12">
        <v>46305</v>
      </c>
      <c r="F6" s="4" t="inlineStr">
        <is>
          <t>A1030FS+2</t>
        </is>
      </c>
    </row>
    <row r="7">
      <c r="A7" s="4" t="inlineStr">
        <is>
          <t>A2010</t>
        </is>
      </c>
      <c r="B7" s="4" t="inlineStr">
        <is>
          <t>Xây tường tầng 1</t>
        </is>
      </c>
      <c r="C7" s="6">
        <v>18</v>
      </c>
      <c r="D7" s="12">
        <v>46279</v>
      </c>
      <c r="E7" s="12">
        <v>46298</v>
      </c>
      <c r="F7" s="4" t="inlineStr">
        <is>
          <t>A1010</t>
        </is>
      </c>
    </row>
    <row r="8">
      <c r="A8" s="4" t="inlineStr">
        <is>
          <t>A2020</t>
        </is>
      </c>
      <c r="B8" s="4" t="inlineStr">
        <is>
          <t>Xây tường tầng 2</t>
        </is>
      </c>
      <c r="C8" s="6">
        <v>12</v>
      </c>
      <c r="D8" s="12">
        <v>46300</v>
      </c>
      <c r="E8" s="12">
        <v>46312</v>
      </c>
      <c r="F8" s="4" t="inlineStr">
        <is>
          <t>A2010</t>
        </is>
      </c>
    </row>
    <row r="9">
      <c r="A9" s="4" t="inlineStr">
        <is>
          <t>A3010</t>
        </is>
      </c>
      <c r="B9" s="4" t="inlineStr">
        <is>
          <t>Lắp ống cấp thoát nước tầng 1</t>
        </is>
      </c>
      <c r="C9" s="6">
        <v>11</v>
      </c>
      <c r="D9" s="12">
        <v>46286</v>
      </c>
      <c r="E9" s="12">
        <v>46297</v>
      </c>
      <c r="F9" s="4" t="inlineStr">
        <is>
          <t>A2010SS+6</t>
        </is>
      </c>
    </row>
    <row r="10">
      <c r="A10" s="4" t="inlineStr">
        <is>
          <t>A3020</t>
        </is>
      </c>
      <c r="B10" s="4" t="inlineStr">
        <is>
          <t>Đi dây điện âm tường tầng 1</t>
        </is>
      </c>
      <c r="C10" s="6">
        <v>6</v>
      </c>
      <c r="D10" s="12">
        <v>46293</v>
      </c>
      <c r="E10" s="12">
        <v>46298</v>
      </c>
      <c r="F10" s="4" t="inlineStr">
        <is>
          <t>A3010SS+6</t>
        </is>
      </c>
    </row>
  </sheetData>
  <hyperlinks>
    <hyperlink ref="H1" location="'Mục lục'!A24" display="← Mục lục"/>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10"/>
  <sheetViews>
    <sheetView workbookViewId="0">
      <selection activeCell="H4" sqref="H4"/>
    </sheetView>
  </sheetViews>
  <sheetFormatPr defaultRowHeight="15"/>
  <cols>
    <col min="1" max="1" width="7.00" customWidth="1"/>
    <col min="2" max="2" width="25.00" customWidth="1"/>
    <col min="3" max="3" width="8.00" customWidth="1"/>
    <col min="4" max="4" width="10.00" customWidth="1"/>
    <col min="5" max="5" width="10.00" customWidth="1"/>
    <col min="6" max="6" width="9.00" customWidth="1"/>
    <col min="7" max="7" width="13.00" customWidth="1"/>
    <col min="8" max="8" width="13.00" customWidth="1"/>
    <col min="10" max="10" width="12.00" customWidth="1"/>
  </cols>
  <sheetData>
    <row r="1">
      <c r="A1" s="1" t="inlineStr">
        <is>
          <t>TIẾN ĐỘ THI CÔNG — NHÀ VĂN PHÒNG 9 TẦNG</t>
        </is>
      </c>
      <c r="J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Hoàn thành (%)</t>
        </is>
      </c>
      <c r="G2" s="2" t="inlineStr">
        <is>
          <t>BAC</t>
        </is>
      </c>
      <c r="H2" s="2" t="inlineStr">
        <is>
          <t>AC</t>
        </is>
      </c>
    </row>
    <row r="3">
      <c r="A3" s="4" t="inlineStr">
        <is>
          <t>A1010</t>
        </is>
      </c>
      <c r="B3" s="4" t="inlineStr">
        <is>
          <t>Bê tông cột tầng 3</t>
        </is>
      </c>
      <c r="C3" s="6">
        <v>6</v>
      </c>
      <c r="D3" s="12">
        <v>46272</v>
      </c>
      <c r="E3" s="12">
        <v>46277</v>
      </c>
      <c r="F3" s="13">
        <v>1</v>
      </c>
      <c r="G3" s="15">
        <v>420000000</v>
      </c>
      <c r="H3" s="15">
        <v>436000000</v>
      </c>
    </row>
    <row r="4">
      <c r="A4" s="4" t="inlineStr">
        <is>
          <t>A1020</t>
        </is>
      </c>
      <c r="B4" s="4" t="inlineStr">
        <is>
          <t>Cốp pha, cốt thép sàn tầng 3</t>
        </is>
      </c>
      <c r="C4" s="6">
        <v>15</v>
      </c>
      <c r="D4" s="12">
        <v>46279</v>
      </c>
      <c r="E4" s="12">
        <v>46295</v>
      </c>
      <c r="F4" s="13">
        <v>0.75</v>
      </c>
      <c r="G4" s="15">
        <v>1250000000</v>
      </c>
      <c r="H4" s="15">
        <v>1010000000</v>
      </c>
    </row>
    <row r="5">
      <c r="A5" s="4" t="inlineStr">
        <is>
          <t>A1030</t>
        </is>
      </c>
      <c r="B5" s="4" t="inlineStr">
        <is>
          <t>Bê tông dầm sàn tầng 3</t>
        </is>
      </c>
      <c r="C5" s="6">
        <v>2</v>
      </c>
      <c r="D5" s="12">
        <v>46296</v>
      </c>
      <c r="E5" s="12">
        <v>46297</v>
      </c>
      <c r="F5" s="13">
        <v>0</v>
      </c>
      <c r="G5" s="15">
        <v>980000000</v>
      </c>
      <c r="H5" s="4"/>
    </row>
    <row r="6">
      <c r="A6" s="4" t="inlineStr">
        <is>
          <t>A1040</t>
        </is>
      </c>
      <c r="B6" s="4" t="inlineStr">
        <is>
          <t>Cốt thép, cốp pha cột tầng 4</t>
        </is>
      </c>
      <c r="C6" s="6">
        <v>6</v>
      </c>
      <c r="D6" s="12">
        <v>46300</v>
      </c>
      <c r="E6" s="12">
        <v>46305</v>
      </c>
      <c r="F6" s="13">
        <v>0</v>
      </c>
      <c r="G6" s="15">
        <v>510000000</v>
      </c>
      <c r="H6" s="4"/>
    </row>
    <row r="7">
      <c r="A7" s="4" t="inlineStr">
        <is>
          <t>A2010</t>
        </is>
      </c>
      <c r="B7" s="4" t="inlineStr">
        <is>
          <t>Xây tường tầng 1</t>
        </is>
      </c>
      <c r="C7" s="6">
        <v>18</v>
      </c>
      <c r="D7" s="12">
        <v>46279</v>
      </c>
      <c r="E7" s="12">
        <v>46298</v>
      </c>
      <c r="F7" s="13">
        <v>0.55</v>
      </c>
      <c r="G7" s="15">
        <v>640000000</v>
      </c>
      <c r="H7" s="15">
        <v>372000000</v>
      </c>
    </row>
    <row r="8">
      <c r="A8" s="4" t="inlineStr">
        <is>
          <t>A2020</t>
        </is>
      </c>
      <c r="B8" s="4" t="inlineStr">
        <is>
          <t>Xây tường tầng 2</t>
        </is>
      </c>
      <c r="C8" s="6">
        <v>12</v>
      </c>
      <c r="D8" s="12">
        <v>46300</v>
      </c>
      <c r="E8" s="12">
        <v>46312</v>
      </c>
      <c r="F8" s="13">
        <v>0</v>
      </c>
      <c r="G8" s="15">
        <v>610000000</v>
      </c>
      <c r="H8" s="4"/>
    </row>
    <row r="9">
      <c r="A9" s="4" t="inlineStr">
        <is>
          <t>A3010</t>
        </is>
      </c>
      <c r="B9" s="4" t="inlineStr">
        <is>
          <t>Lắp ống cấp thoát nước tầng 1</t>
        </is>
      </c>
      <c r="C9" s="6">
        <v>11</v>
      </c>
      <c r="D9" s="12">
        <v>46286</v>
      </c>
      <c r="E9" s="12">
        <v>46297</v>
      </c>
      <c r="F9" s="13">
        <v>0.3</v>
      </c>
      <c r="G9" s="15">
        <v>360000000</v>
      </c>
      <c r="H9" s="15">
        <v>126000000</v>
      </c>
    </row>
    <row r="10">
      <c r="A10" s="4" t="inlineStr">
        <is>
          <t>A3020</t>
        </is>
      </c>
      <c r="B10" s="4" t="inlineStr">
        <is>
          <t>Đi dây điện âm tường tầng 1</t>
        </is>
      </c>
      <c r="C10" s="6">
        <v>6</v>
      </c>
      <c r="D10" s="12">
        <v>46293</v>
      </c>
      <c r="E10" s="12">
        <v>46298</v>
      </c>
      <c r="F10" s="13">
        <v>0.1</v>
      </c>
      <c r="G10" s="15">
        <v>240000000</v>
      </c>
      <c r="H10" s="15">
        <v>30000000</v>
      </c>
    </row>
  </sheetData>
  <hyperlinks>
    <hyperlink ref="J1" location="'Mục lục'!A26" display="← Mục lục"/>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H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9.00" customWidth="1"/>
    <col min="8" max="8" width="12.00" customWidth="1"/>
  </cols>
  <sheetData>
    <row r="1">
      <c r="A1" s="1" t="inlineStr">
        <is>
          <t>TIẾN ĐỘ THI CÔNG — NHÀ VĂN PHÒNG 9 TẦNG</t>
        </is>
      </c>
      <c r="H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Nhân lực</t>
        </is>
      </c>
    </row>
    <row r="3">
      <c r="A3" s="4" t="inlineStr">
        <is>
          <t>A1010</t>
        </is>
      </c>
      <c r="B3" s="4" t="inlineStr">
        <is>
          <t>Bê tông cột tầng 3</t>
        </is>
      </c>
      <c r="C3" s="6">
        <v>6</v>
      </c>
      <c r="D3" s="12">
        <v>46272</v>
      </c>
      <c r="E3" s="12">
        <v>46277</v>
      </c>
      <c r="F3" s="6">
        <v>12</v>
      </c>
    </row>
    <row r="4">
      <c r="A4" s="4" t="inlineStr">
        <is>
          <t>A1020</t>
        </is>
      </c>
      <c r="B4" s="4" t="inlineStr">
        <is>
          <t>Cốp pha, cốt thép sàn tầng 3</t>
        </is>
      </c>
      <c r="C4" s="6">
        <v>15</v>
      </c>
      <c r="D4" s="12">
        <v>46279</v>
      </c>
      <c r="E4" s="12">
        <v>46295</v>
      </c>
      <c r="F4" s="6">
        <v>24</v>
      </c>
    </row>
    <row r="5">
      <c r="A5" s="4" t="inlineStr">
        <is>
          <t>A1030</t>
        </is>
      </c>
      <c r="B5" s="4" t="inlineStr">
        <is>
          <t>Bê tông dầm sàn tầng 3</t>
        </is>
      </c>
      <c r="C5" s="6">
        <v>2</v>
      </c>
      <c r="D5" s="12">
        <v>46296</v>
      </c>
      <c r="E5" s="12">
        <v>46297</v>
      </c>
      <c r="F5" s="6">
        <v>30</v>
      </c>
    </row>
    <row r="6">
      <c r="A6" s="4" t="inlineStr">
        <is>
          <t>A1040</t>
        </is>
      </c>
      <c r="B6" s="4" t="inlineStr">
        <is>
          <t>Cốt thép, cốp pha cột tầng 4</t>
        </is>
      </c>
      <c r="C6" s="6">
        <v>6</v>
      </c>
      <c r="D6" s="12">
        <v>46300</v>
      </c>
      <c r="E6" s="12">
        <v>46305</v>
      </c>
      <c r="F6" s="6">
        <v>14</v>
      </c>
    </row>
    <row r="7">
      <c r="A7" s="4" t="inlineStr">
        <is>
          <t>A2010</t>
        </is>
      </c>
      <c r="B7" s="4" t="inlineStr">
        <is>
          <t>Xây tường tầng 1</t>
        </is>
      </c>
      <c r="C7" s="6">
        <v>18</v>
      </c>
      <c r="D7" s="12">
        <v>46279</v>
      </c>
      <c r="E7" s="12">
        <v>46298</v>
      </c>
      <c r="F7" s="6">
        <v>10</v>
      </c>
    </row>
    <row r="8">
      <c r="A8" s="4" t="inlineStr">
        <is>
          <t>A2020</t>
        </is>
      </c>
      <c r="B8" s="4" t="inlineStr">
        <is>
          <t>Xây tường tầng 2</t>
        </is>
      </c>
      <c r="C8" s="6">
        <v>12</v>
      </c>
      <c r="D8" s="12">
        <v>46300</v>
      </c>
      <c r="E8" s="12">
        <v>46312</v>
      </c>
      <c r="F8" s="6">
        <v>10</v>
      </c>
    </row>
    <row r="9">
      <c r="A9" s="4" t="inlineStr">
        <is>
          <t>A3010</t>
        </is>
      </c>
      <c r="B9" s="4" t="inlineStr">
        <is>
          <t>Lắp ống cấp thoát nước tầng 1</t>
        </is>
      </c>
      <c r="C9" s="6">
        <v>11</v>
      </c>
      <c r="D9" s="12">
        <v>46286</v>
      </c>
      <c r="E9" s="12">
        <v>46297</v>
      </c>
      <c r="F9" s="6">
        <v>4</v>
      </c>
    </row>
    <row r="10">
      <c r="A10" s="4" t="inlineStr">
        <is>
          <t>A3020</t>
        </is>
      </c>
      <c r="B10" s="4" t="inlineStr">
        <is>
          <t>Đi dây điện âm tường tầng 1</t>
        </is>
      </c>
      <c r="C10" s="6">
        <v>6</v>
      </c>
      <c r="D10" s="12">
        <v>46293</v>
      </c>
      <c r="E10" s="12">
        <v>46298</v>
      </c>
      <c r="F10" s="6">
        <v>4</v>
      </c>
    </row>
  </sheetData>
  <hyperlinks>
    <hyperlink ref="H1" location="'Mục lục'!A28" display="← Mục lục"/>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0"/>
  <sheetViews>
    <sheetView workbookViewId="0">
      <selection activeCell="G10" sqref="G10"/>
    </sheetView>
  </sheetViews>
  <sheetFormatPr defaultRowHeight="15"/>
  <cols>
    <col min="1" max="1" width="7.00" customWidth="1"/>
    <col min="2" max="2" width="25.00" customWidth="1"/>
    <col min="3" max="3" width="8.00" customWidth="1"/>
    <col min="4" max="4" width="10.00" customWidth="1"/>
    <col min="5" max="5" width="10.00" customWidth="1"/>
    <col min="6" max="6" width="11.00" customWidth="1"/>
    <col min="7" max="7" width="9.00" customWidth="1"/>
    <col min="9" max="9" width="12.00" customWidth="1"/>
  </cols>
  <sheetData>
    <row r="1">
      <c r="A1" s="1" t="inlineStr">
        <is>
          <t>TIẾN ĐỘ THI CÔNG — NHÀ VĂN PHÒNG 9 TẦNG</t>
        </is>
      </c>
      <c r="I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Công tác trước</t>
        </is>
      </c>
      <c r="G2" s="2" t="inlineStr">
        <is>
          <t>Nhân lực</t>
        </is>
      </c>
    </row>
    <row r="3">
      <c r="A3" s="4" t="inlineStr">
        <is>
          <t>A1010</t>
        </is>
      </c>
      <c r="B3" s="4" t="inlineStr">
        <is>
          <t>Bê tông cột tầng 3</t>
        </is>
      </c>
      <c r="C3" s="6">
        <v>6</v>
      </c>
      <c r="D3" s="12">
        <v>46272</v>
      </c>
      <c r="E3" s="12">
        <v>46277</v>
      </c>
      <c r="F3" s="4"/>
      <c r="G3" s="6">
        <v>12</v>
      </c>
    </row>
    <row r="4">
      <c r="A4" s="4" t="inlineStr">
        <is>
          <t>A1020</t>
        </is>
      </c>
      <c r="B4" s="4" t="inlineStr">
        <is>
          <t>Cốp pha, cốt thép sàn tầng 3</t>
        </is>
      </c>
      <c r="C4" s="6">
        <v>15</v>
      </c>
      <c r="D4" s="12">
        <v>46279</v>
      </c>
      <c r="E4" s="12">
        <v>46295</v>
      </c>
      <c r="F4" s="4" t="inlineStr">
        <is>
          <t>A1010</t>
        </is>
      </c>
      <c r="G4" s="6">
        <v>24</v>
      </c>
    </row>
    <row r="5">
      <c r="A5" s="4" t="inlineStr">
        <is>
          <t>A1030</t>
        </is>
      </c>
      <c r="B5" s="4" t="inlineStr">
        <is>
          <t>Bê tông dầm sàn tầng 3</t>
        </is>
      </c>
      <c r="C5" s="6">
        <v>2</v>
      </c>
      <c r="D5" s="12">
        <v>46296</v>
      </c>
      <c r="E5" s="12">
        <v>46297</v>
      </c>
      <c r="F5" s="4" t="inlineStr">
        <is>
          <t>A1020</t>
        </is>
      </c>
      <c r="G5" s="6">
        <v>30</v>
      </c>
    </row>
    <row r="6">
      <c r="A6" s="4" t="inlineStr">
        <is>
          <t>A1040</t>
        </is>
      </c>
      <c r="B6" s="4" t="inlineStr">
        <is>
          <t>Cốt thép, cốp pha cột tầng 4</t>
        </is>
      </c>
      <c r="C6" s="6">
        <v>6</v>
      </c>
      <c r="D6" s="12">
        <v>46300</v>
      </c>
      <c r="E6" s="12">
        <v>46305</v>
      </c>
      <c r="F6" s="4" t="inlineStr">
        <is>
          <t>A1030FS+2</t>
        </is>
      </c>
      <c r="G6" s="6">
        <v>14</v>
      </c>
    </row>
    <row r="7">
      <c r="A7" s="4" t="inlineStr">
        <is>
          <t>A2010</t>
        </is>
      </c>
      <c r="B7" s="4" t="inlineStr">
        <is>
          <t>Xây tường tầng 1</t>
        </is>
      </c>
      <c r="C7" s="6">
        <v>18</v>
      </c>
      <c r="D7" s="12">
        <v>46279</v>
      </c>
      <c r="E7" s="12">
        <v>46298</v>
      </c>
      <c r="F7" s="4" t="inlineStr">
        <is>
          <t>A1010</t>
        </is>
      </c>
      <c r="G7" s="6">
        <v>10</v>
      </c>
    </row>
    <row r="8">
      <c r="A8" s="4" t="inlineStr">
        <is>
          <t>A2020</t>
        </is>
      </c>
      <c r="B8" s="4" t="inlineStr">
        <is>
          <t>Xây tường tầng 2</t>
        </is>
      </c>
      <c r="C8" s="6">
        <v>12</v>
      </c>
      <c r="D8" s="12">
        <v>46300</v>
      </c>
      <c r="E8" s="12">
        <v>46312</v>
      </c>
      <c r="F8" s="4" t="inlineStr">
        <is>
          <t>A2010</t>
        </is>
      </c>
      <c r="G8" s="6">
        <v>10</v>
      </c>
    </row>
    <row r="9">
      <c r="A9" s="4" t="inlineStr">
        <is>
          <t>A3010</t>
        </is>
      </c>
      <c r="B9" s="4" t="inlineStr">
        <is>
          <t>Lắp ống cấp thoát nước tầng 1</t>
        </is>
      </c>
      <c r="C9" s="6">
        <v>11</v>
      </c>
      <c r="D9" s="12">
        <v>46286</v>
      </c>
      <c r="E9" s="12">
        <v>46297</v>
      </c>
      <c r="F9" s="4" t="inlineStr">
        <is>
          <t>A2010SS+6</t>
        </is>
      </c>
      <c r="G9" s="6">
        <v>4</v>
      </c>
    </row>
    <row r="10">
      <c r="A10" s="4" t="inlineStr">
        <is>
          <t>A3020</t>
        </is>
      </c>
      <c r="B10" s="4" t="inlineStr">
        <is>
          <t>Đi dây điện âm tường tầng 1</t>
        </is>
      </c>
      <c r="C10" s="6">
        <v>6</v>
      </c>
      <c r="D10" s="12">
        <v>46293</v>
      </c>
      <c r="E10" s="12">
        <v>46298</v>
      </c>
      <c r="F10" s="4" t="inlineStr">
        <is>
          <t>A3010SS+6</t>
        </is>
      </c>
      <c r="G10" s="6">
        <v>4</v>
      </c>
    </row>
  </sheetData>
  <hyperlinks>
    <hyperlink ref="I1" location="'Mục lục'!A29" display="← Mục lục"/>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H10"/>
  <sheetViews>
    <sheetView workbookViewId="0">
      <selection activeCell="F4" sqref="F4"/>
    </sheetView>
  </sheetViews>
  <sheetFormatPr defaultRowHeight="15"/>
  <cols>
    <col min="1" max="1" width="7.00" customWidth="1"/>
    <col min="2" max="2" width="25.00" customWidth="1"/>
    <col min="3" max="3" width="8.00" customWidth="1"/>
    <col min="4" max="4" width="10.00" customWidth="1"/>
    <col min="5" max="5" width="10.00" customWidth="1"/>
    <col min="6" max="6" width="13.00" customWidth="1"/>
    <col min="8" max="8" width="12.00" customWidth="1"/>
  </cols>
  <sheetData>
    <row r="1">
      <c r="A1" s="1" t="inlineStr">
        <is>
          <t>TIẾN ĐỘ THI CÔNG — NHÀ VĂN PHÒNG 9 TẦNG</t>
        </is>
      </c>
      <c r="H1" s="105" t="inlineStr">
        <is>
          <t>← Mục lục</t>
        </is>
      </c>
    </row>
    <row r="2" ht="27.00" customHeight="1">
      <c r="A2" s="2" t="inlineStr">
        <is>
          <t>Mã công tác</t>
        </is>
      </c>
      <c r="B2" s="2" t="inlineStr">
        <is>
          <t>Tên công tác</t>
        </is>
      </c>
      <c r="C2" s="2" t="inlineStr">
        <is>
          <t>Thời lượng</t>
        </is>
      </c>
      <c r="D2" s="2" t="inlineStr">
        <is>
          <t>Bắt đầu</t>
        </is>
      </c>
      <c r="E2" s="2" t="inlineStr">
        <is>
          <t>Kết thúc</t>
        </is>
      </c>
      <c r="F2" s="2" t="inlineStr">
        <is>
          <t>BAC</t>
        </is>
      </c>
    </row>
    <row r="3">
      <c r="A3" s="4" t="inlineStr">
        <is>
          <t>A1010</t>
        </is>
      </c>
      <c r="B3" s="4" t="inlineStr">
        <is>
          <t>Bê tông cột tầng 3</t>
        </is>
      </c>
      <c r="C3" s="6">
        <v>6</v>
      </c>
      <c r="D3" s="12">
        <v>46272</v>
      </c>
      <c r="E3" s="12">
        <v>46277</v>
      </c>
      <c r="F3" s="15">
        <v>420000000</v>
      </c>
    </row>
    <row r="4">
      <c r="A4" s="4" t="inlineStr">
        <is>
          <t>A1020</t>
        </is>
      </c>
      <c r="B4" s="4" t="inlineStr">
        <is>
          <t>Cốp pha, cốt thép sàn tầng 3</t>
        </is>
      </c>
      <c r="C4" s="6">
        <v>15</v>
      </c>
      <c r="D4" s="12">
        <v>46279</v>
      </c>
      <c r="E4" s="12">
        <v>46295</v>
      </c>
      <c r="F4" s="15">
        <v>1250000000</v>
      </c>
    </row>
    <row r="5">
      <c r="A5" s="4" t="inlineStr">
        <is>
          <t>A1030</t>
        </is>
      </c>
      <c r="B5" s="4" t="inlineStr">
        <is>
          <t>Bê tông dầm sàn tầng 3</t>
        </is>
      </c>
      <c r="C5" s="6">
        <v>2</v>
      </c>
      <c r="D5" s="12">
        <v>46296</v>
      </c>
      <c r="E5" s="12">
        <v>46297</v>
      </c>
      <c r="F5" s="15">
        <v>980000000</v>
      </c>
    </row>
    <row r="6">
      <c r="A6" s="4" t="inlineStr">
        <is>
          <t>A1040</t>
        </is>
      </c>
      <c r="B6" s="4" t="inlineStr">
        <is>
          <t>Cốt thép, cốp pha cột tầng 4</t>
        </is>
      </c>
      <c r="C6" s="6">
        <v>6</v>
      </c>
      <c r="D6" s="12">
        <v>46300</v>
      </c>
      <c r="E6" s="12">
        <v>46305</v>
      </c>
      <c r="F6" s="15">
        <v>510000000</v>
      </c>
    </row>
    <row r="7">
      <c r="A7" s="4" t="inlineStr">
        <is>
          <t>A2010</t>
        </is>
      </c>
      <c r="B7" s="4" t="inlineStr">
        <is>
          <t>Xây tường tầng 1</t>
        </is>
      </c>
      <c r="C7" s="6">
        <v>18</v>
      </c>
      <c r="D7" s="12">
        <v>46279</v>
      </c>
      <c r="E7" s="12">
        <v>46298</v>
      </c>
      <c r="F7" s="15">
        <v>640000000</v>
      </c>
    </row>
    <row r="8">
      <c r="A8" s="4" t="inlineStr">
        <is>
          <t>A2020</t>
        </is>
      </c>
      <c r="B8" s="4" t="inlineStr">
        <is>
          <t>Xây tường tầng 2</t>
        </is>
      </c>
      <c r="C8" s="6">
        <v>12</v>
      </c>
      <c r="D8" s="12">
        <v>46300</v>
      </c>
      <c r="E8" s="12">
        <v>46312</v>
      </c>
      <c r="F8" s="15">
        <v>610000000</v>
      </c>
    </row>
    <row r="9">
      <c r="A9" s="4" t="inlineStr">
        <is>
          <t>A3010</t>
        </is>
      </c>
      <c r="B9" s="4" t="inlineStr">
        <is>
          <t>Lắp ống cấp thoát nước tầng 1</t>
        </is>
      </c>
      <c r="C9" s="6">
        <v>11</v>
      </c>
      <c r="D9" s="12">
        <v>46286</v>
      </c>
      <c r="E9" s="12">
        <v>46297</v>
      </c>
      <c r="F9" s="15">
        <v>360000000</v>
      </c>
    </row>
    <row r="10">
      <c r="A10" s="4" t="inlineStr">
        <is>
          <t>A3020</t>
        </is>
      </c>
      <c r="B10" s="4" t="inlineStr">
        <is>
          <t>Đi dây điện âm tường tầng 1</t>
        </is>
      </c>
      <c r="C10" s="6">
        <v>6</v>
      </c>
      <c r="D10" s="12">
        <v>46293</v>
      </c>
      <c r="E10" s="12">
        <v>46298</v>
      </c>
      <c r="F10" s="15">
        <v>240000000</v>
      </c>
    </row>
  </sheetData>
  <hyperlinks>
    <hyperlink ref="H1" location="'Mục lục'!A30" display="← Mục lục"/>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H5"/>
  <sheetViews>
    <sheetView workbookViewId="0">
      <selection activeCell="A2" sqref="A2:D5"/>
    </sheetView>
  </sheetViews>
  <sheetFormatPr defaultRowHeight="15"/>
  <cols>
    <col min="1" max="1" width="8.00" customWidth="1"/>
    <col min="2" max="2" width="14.00" customWidth="1"/>
    <col min="3" max="3" width="10.00" customWidth="1"/>
    <col min="4" max="4" width="9.00" customWidth="1"/>
    <col min="5" max="5" width="8.00" customWidth="1"/>
    <col min="6" max="6" width="8.00" customWidth="1"/>
    <col min="8" max="8" width="12.00" customWidth="1"/>
  </cols>
  <sheetData>
    <row r="1" ht="25.50" customHeight="1">
      <c r="A1" s="16" t="inlineStr">
        <is>
          <t>Ø (mm)</t>
        </is>
      </c>
      <c r="B1" s="16" t="inlineStr">
        <is>
          <t>Chiều dài (mm)</t>
        </is>
      </c>
      <c r="C1" s="16" t="inlineStr">
        <is>
          <t>Số lượng</t>
        </is>
      </c>
      <c r="D1" s="16" t="inlineStr">
        <is>
          <t>Ký hiệu</t>
        </is>
      </c>
      <c r="H1" s="105" t="inlineStr">
        <is>
          <t>← Mục lục</t>
        </is>
      </c>
    </row>
    <row r="2">
      <c r="A2" s="4">
        <v>8</v>
      </c>
      <c r="B2" s="4">
        <v>1320</v>
      </c>
      <c r="C2" s="4">
        <v>240</v>
      </c>
      <c r="D2" s="4">
        <v>3</v>
      </c>
    </row>
    <row r="3">
      <c r="A3" s="4">
        <v>12</v>
      </c>
      <c r="B3" s="4">
        <v>2080</v>
      </c>
      <c r="C3" s="4">
        <v>120</v>
      </c>
      <c r="D3" s="4">
        <v>4</v>
      </c>
    </row>
    <row r="4">
      <c r="A4" s="4">
        <v>20</v>
      </c>
      <c r="B4" s="4">
        <v>5700</v>
      </c>
      <c r="C4" s="4">
        <v>24</v>
      </c>
      <c r="D4" s="4">
        <v>1</v>
      </c>
    </row>
    <row r="5">
      <c r="A5" s="4">
        <v>20</v>
      </c>
      <c r="B5" s="4">
        <v>3880</v>
      </c>
      <c r="C5" s="4">
        <v>12</v>
      </c>
      <c r="D5" s="4">
        <v>2</v>
      </c>
    </row>
  </sheetData>
  <hyperlinks>
    <hyperlink ref="H1" location="'Mục lục'!A31" display="← Mục lục"/>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K5"/>
  <sheetViews>
    <sheetView workbookViewId="0">
      <selection activeCell="A1" sqref="A1:I5"/>
    </sheetView>
  </sheetViews>
  <sheetFormatPr defaultRowHeight="15"/>
  <cols>
    <col min="1" max="1" width="8.00" customWidth="1"/>
    <col min="2" max="2" width="9.00" customWidth="1"/>
    <col min="3" max="3" width="7.00" customWidth="1"/>
    <col min="4" max="4" width="10.00" customWidth="1"/>
    <col min="5" max="5" width="7.00" customWidth="1"/>
    <col min="6" max="6" width="7.00" customWidth="1"/>
    <col min="7" max="7" width="7.00" customWidth="1"/>
    <col min="8" max="8" width="8.00" customWidth="1"/>
    <col min="9" max="9" width="12.00" customWidth="1"/>
    <col min="11" max="11" width="12.00" customWidth="1"/>
  </cols>
  <sheetData>
    <row r="1">
      <c r="A1" s="3" t="inlineStr">
        <is>
          <t>Ký hiệu</t>
        </is>
      </c>
      <c r="B1" s="3" t="inlineStr">
        <is>
          <t>Cấu kiện</t>
        </is>
      </c>
      <c r="C1" s="3" t="inlineStr">
        <is>
          <t>Ø (mm)</t>
        </is>
      </c>
      <c r="D1" s="3" t="inlineStr">
        <is>
          <t>Hình dạng</t>
        </is>
      </c>
      <c r="E1" s="3" t="inlineStr">
        <is>
          <t>A</t>
        </is>
      </c>
      <c r="F1" s="3" t="inlineStr">
        <is>
          <t>B</t>
        </is>
      </c>
      <c r="G1" s="3" t="inlineStr">
        <is>
          <t>C</t>
        </is>
      </c>
      <c r="H1" s="3" t="inlineStr">
        <is>
          <t>Số CK</t>
        </is>
      </c>
      <c r="I1" s="3" t="inlineStr">
        <is>
          <t>Số thanh/CK</t>
        </is>
      </c>
      <c r="K1" s="105" t="inlineStr">
        <is>
          <t>← Mục lục</t>
        </is>
      </c>
    </row>
    <row r="2">
      <c r="A2" s="6">
        <v>1</v>
      </c>
      <c r="B2" s="4" t="inlineStr">
        <is>
          <t>Dầm D1</t>
        </is>
      </c>
      <c r="C2" s="4">
        <v>20</v>
      </c>
      <c r="D2" s="6" t="inlineStr">
        <is>
          <t>00</t>
        </is>
      </c>
      <c r="E2" s="4">
        <v>5700</v>
      </c>
      <c r="F2" s="4"/>
      <c r="G2" s="4"/>
      <c r="H2" s="4">
        <v>6</v>
      </c>
      <c r="I2" s="4">
        <v>4</v>
      </c>
    </row>
    <row r="3">
      <c r="A3" s="6">
        <v>2</v>
      </c>
      <c r="B3" s="4" t="inlineStr">
        <is>
          <t>Dầm D1</t>
        </is>
      </c>
      <c r="C3" s="4">
        <v>20</v>
      </c>
      <c r="D3" s="6">
        <v>21</v>
      </c>
      <c r="E3" s="4">
        <v>3500</v>
      </c>
      <c r="F3" s="4">
        <v>400</v>
      </c>
      <c r="G3" s="4"/>
      <c r="H3" s="4">
        <v>6</v>
      </c>
      <c r="I3" s="4">
        <v>2</v>
      </c>
    </row>
    <row r="4">
      <c r="A4" s="6">
        <v>3</v>
      </c>
      <c r="B4" s="4" t="inlineStr">
        <is>
          <t>Dầm D1</t>
        </is>
      </c>
      <c r="C4" s="4">
        <v>8</v>
      </c>
      <c r="D4" s="6">
        <v>51</v>
      </c>
      <c r="E4" s="4">
        <v>200</v>
      </c>
      <c r="F4" s="4">
        <v>400</v>
      </c>
      <c r="G4" s="4"/>
      <c r="H4" s="4">
        <v>6</v>
      </c>
      <c r="I4" s="4">
        <v>40</v>
      </c>
    </row>
    <row r="5">
      <c r="A5" s="6">
        <v>4</v>
      </c>
      <c r="B5" s="4" t="inlineStr">
        <is>
          <t>Sàn S5</t>
        </is>
      </c>
      <c r="C5" s="4">
        <v>12</v>
      </c>
      <c r="D5" s="6">
        <v>31</v>
      </c>
      <c r="E5" s="4">
        <v>150</v>
      </c>
      <c r="F5" s="4">
        <v>1800</v>
      </c>
      <c r="G5" s="4">
        <v>150</v>
      </c>
      <c r="H5" s="4">
        <v>1</v>
      </c>
      <c r="I5" s="4">
        <v>120</v>
      </c>
    </row>
  </sheetData>
  <hyperlinks>
    <hyperlink ref="K1" location="'Mục lục'!A33" display="← Mục lục"/>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4"/>
  <sheetViews>
    <sheetView workbookViewId="0">
      <selection activeCell="A2" sqref="A2:E4"/>
    </sheetView>
  </sheetViews>
  <sheetFormatPr defaultRowHeight="15"/>
  <cols>
    <col min="1" max="1" width="7.00" customWidth="1"/>
    <col min="2" max="2" width="5.00" customWidth="1"/>
    <col min="3" max="3" width="10.00" customWidth="1"/>
    <col min="4" max="4" width="13.00" customWidth="1"/>
    <col min="5" max="5" width="8.50" customWidth="1"/>
    <col min="6" max="6" width="8.00" customWidth="1"/>
    <col min="8" max="8" width="12.00" customWidth="1"/>
  </cols>
  <sheetData>
    <row r="1">
      <c r="A1" s="17" t="inlineStr">
        <is>
          <t>Dài</t>
        </is>
      </c>
      <c r="B1" s="17" t="inlineStr">
        <is>
          <t>SL</t>
        </is>
      </c>
      <c r="C1" s="17" t="inlineStr">
        <is>
          <t>Vật liệu</t>
        </is>
      </c>
      <c r="D1" s="17" t="inlineStr">
        <is>
          <t>Nhãn</t>
        </is>
      </c>
      <c r="E1" s="17" t="inlineStr">
        <is>
          <t>Ưu tiên</t>
        </is>
      </c>
      <c r="H1" s="105" t="inlineStr">
        <is>
          <t>← Mục lục</t>
        </is>
      </c>
    </row>
    <row r="2">
      <c r="A2" s="18">
        <v>2350</v>
      </c>
      <c r="B2" s="18">
        <v>40</v>
      </c>
      <c r="C2" s="18" t="inlineStr">
        <is>
          <t>HOP50</t>
        </is>
      </c>
      <c r="D2" s="18" t="inlineStr">
        <is>
          <t>Giằng ngang</t>
        </is>
      </c>
      <c r="E2" s="18">
        <v>0</v>
      </c>
    </row>
    <row r="3">
      <c r="A3" s="18">
        <v>1800</v>
      </c>
      <c r="B3" s="18">
        <v>24</v>
      </c>
      <c r="C3" s="18" t="inlineStr">
        <is>
          <t>HOP50</t>
        </is>
      </c>
      <c r="D3" s="18" t="inlineStr">
        <is>
          <t>Đứng</t>
        </is>
      </c>
      <c r="E3" s="18">
        <v>0</v>
      </c>
    </row>
    <row r="4">
      <c r="A4" s="18">
        <v>950</v>
      </c>
      <c r="B4" s="18">
        <v>30</v>
      </c>
      <c r="C4" s="18" t="inlineStr">
        <is>
          <t>HOP50</t>
        </is>
      </c>
      <c r="D4" s="18" t="inlineStr">
        <is>
          <t>Chống chéo</t>
        </is>
      </c>
      <c r="E4" s="18">
        <v>0</v>
      </c>
    </row>
  </sheetData>
  <hyperlinks>
    <hyperlink ref="H1" location="'Mục lục'!A34" display="← Mục lục"/>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J2"/>
  <sheetViews>
    <sheetView workbookViewId="0">
      <selection activeCell="A2" sqref="A2"/>
    </sheetView>
  </sheetViews>
  <sheetFormatPr defaultRowHeight="15"/>
  <cols>
    <col min="1" max="1" width="7.00" customWidth="1"/>
    <col min="2" max="2" width="10.00" customWidth="1"/>
    <col min="3" max="3" width="10.00" customWidth="1"/>
    <col min="4" max="4" width="5.00" customWidth="1"/>
    <col min="5" max="5" width="8.00" customWidth="1"/>
    <col min="6" max="6" width="8.00" customWidth="1"/>
    <col min="7" max="7" width="8.50" customWidth="1"/>
    <col min="8" max="8" width="13.00" customWidth="1"/>
    <col min="10" max="10" width="12.00" customWidth="1"/>
  </cols>
  <sheetData>
    <row r="1">
      <c r="A1" s="17" t="inlineStr">
        <is>
          <t>Dài</t>
        </is>
      </c>
      <c r="B1" s="17" t="inlineStr">
        <is>
          <t>SL (0=∞)</t>
        </is>
      </c>
      <c r="C1" s="17" t="inlineStr">
        <is>
          <t>Vật liệu</t>
        </is>
      </c>
      <c r="D1" s="17" t="inlineStr">
        <is>
          <t>Kerf</t>
        </is>
      </c>
      <c r="E1" s="17" t="inlineStr">
        <is>
          <t>Xén mép</t>
        </is>
      </c>
      <c r="F1" s="17" t="inlineStr">
        <is>
          <t>Giá</t>
        </is>
      </c>
      <c r="G1" s="17" t="inlineStr">
        <is>
          <t>Ưu tiên</t>
        </is>
      </c>
      <c r="H1" s="17" t="inlineStr">
        <is>
          <t>Tồn tối thiểu</t>
        </is>
      </c>
      <c r="J1" s="105" t="inlineStr">
        <is>
          <t>← Mục lục</t>
        </is>
      </c>
    </row>
    <row r="2">
      <c r="A2" s="18">
        <v>6000</v>
      </c>
      <c r="B2" s="18">
        <v>0</v>
      </c>
      <c r="C2" s="18" t="inlineStr">
        <is>
          <t>HOP50</t>
        </is>
      </c>
      <c r="D2" s="18">
        <v>3</v>
      </c>
      <c r="E2" s="18">
        <v>10</v>
      </c>
      <c r="F2" s="18">
        <v>148000</v>
      </c>
      <c r="G2" s="18">
        <v>0</v>
      </c>
      <c r="H2" s="18">
        <v>1000</v>
      </c>
    </row>
  </sheetData>
  <hyperlinks>
    <hyperlink ref="J1" location="'Mục lục'!A34" display="← Mục lục"/>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4"/>
  <sheetViews>
    <sheetView workbookViewId="0">
      <selection activeCell="A2" sqref="A2:G4"/>
    </sheetView>
  </sheetViews>
  <sheetFormatPr defaultRowHeight="15"/>
  <cols>
    <col min="1" max="1" width="7.00" customWidth="1"/>
    <col min="2" max="2" width="6.50" customWidth="1"/>
    <col min="3" max="3" width="5.00" customWidth="1"/>
    <col min="4" max="4" width="9.00" customWidth="1"/>
    <col min="5" max="5" width="11.50" customWidth="1"/>
    <col min="6" max="6" width="17.00" customWidth="1"/>
    <col min="7" max="7" width="8.50" customWidth="1"/>
    <col min="8" max="8" width="13.50" customWidth="1"/>
    <col min="9" max="9" width="13.50" customWidth="1"/>
    <col min="11" max="11" width="12.00" customWidth="1"/>
  </cols>
  <sheetData>
    <row r="1">
      <c r="A1" s="17" t="inlineStr">
        <is>
          <t>Dài</t>
        </is>
      </c>
      <c r="B1" s="17" t="inlineStr">
        <is>
          <t>Rộng</t>
        </is>
      </c>
      <c r="C1" s="17" t="inlineStr">
        <is>
          <t>SL</t>
        </is>
      </c>
      <c r="D1" s="17" t="inlineStr">
        <is>
          <t>Vật liệu</t>
        </is>
      </c>
      <c r="E1" s="17" t="inlineStr">
        <is>
          <t>Xoay (1/0)</t>
        </is>
      </c>
      <c r="F1" s="17" t="inlineStr">
        <is>
          <t>Nhãn</t>
        </is>
      </c>
      <c r="G1" s="17" t="inlineStr">
        <is>
          <t>Ưu tiên</t>
        </is>
      </c>
      <c r="H1" s="17" t="inlineStr">
        <is>
          <t>Nẹp (T B L R)</t>
        </is>
      </c>
      <c r="I1" s="17" t="inlineStr">
        <is>
          <t>Mài (T B L R)</t>
        </is>
      </c>
      <c r="K1" s="105" t="inlineStr">
        <is>
          <t>← Mục lục</t>
        </is>
      </c>
    </row>
    <row r="2">
      <c r="A2" s="18">
        <v>1200</v>
      </c>
      <c r="B2" s="18">
        <v>600</v>
      </c>
      <c r="C2" s="18">
        <v>18</v>
      </c>
      <c r="D2" s="18" t="inlineStr">
        <is>
          <t>PLY18</t>
        </is>
      </c>
      <c r="E2" s="18">
        <v>1</v>
      </c>
      <c r="F2" s="18" t="inlineStr">
        <is>
          <t>Cốp pha cột C1</t>
        </is>
      </c>
      <c r="G2" s="18">
        <v>0</v>
      </c>
    </row>
    <row r="3">
      <c r="A3" s="18">
        <v>900</v>
      </c>
      <c r="B3" s="18">
        <v>450</v>
      </c>
      <c r="C3" s="18">
        <v>24</v>
      </c>
      <c r="D3" s="18" t="inlineStr">
        <is>
          <t>PLY18</t>
        </is>
      </c>
      <c r="E3" s="18">
        <v>1</v>
      </c>
      <c r="F3" s="18" t="inlineStr">
        <is>
          <t>Cốp pha dầm D2</t>
        </is>
      </c>
      <c r="G3" s="18">
        <v>0</v>
      </c>
    </row>
    <row r="4">
      <c r="A4" s="18">
        <v>2000</v>
      </c>
      <c r="B4" s="18">
        <v>300</v>
      </c>
      <c r="C4" s="18">
        <v>10</v>
      </c>
      <c r="D4" s="18" t="inlineStr">
        <is>
          <t>PLY18</t>
        </is>
      </c>
      <c r="E4" s="18">
        <v>0</v>
      </c>
      <c r="F4" s="18" t="inlineStr">
        <is>
          <t>Ván thành</t>
        </is>
      </c>
      <c r="G4" s="18">
        <v>0</v>
      </c>
    </row>
  </sheetData>
  <hyperlinks>
    <hyperlink ref="K1" location="'Mục lục'!A35" display="← Mục lục"/>
  </hyperlink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2"/>
  <sheetViews>
    <sheetView workbookViewId="0">
      <selection activeCell="A2" sqref="A2"/>
    </sheetView>
  </sheetViews>
  <sheetFormatPr defaultRowHeight="15"/>
  <cols>
    <col min="1" max="1" width="7.00" customWidth="1"/>
    <col min="2" max="2" width="6.50" customWidth="1"/>
    <col min="3" max="3" width="10.00" customWidth="1"/>
    <col min="4" max="4" width="9.00" customWidth="1"/>
    <col min="5" max="5" width="5.00" customWidth="1"/>
    <col min="6" max="6" width="8.00" customWidth="1"/>
    <col min="7" max="7" width="9.00" customWidth="1"/>
    <col min="8" max="8" width="8.50" customWidth="1"/>
    <col min="9" max="9" width="13.00" customWidth="1"/>
    <col min="10" max="10" width="14.00" customWidth="1"/>
    <col min="12" max="12" width="12.00" customWidth="1"/>
  </cols>
  <sheetData>
    <row r="1">
      <c r="A1" s="17" t="inlineStr">
        <is>
          <t>Dài</t>
        </is>
      </c>
      <c r="B1" s="17" t="inlineStr">
        <is>
          <t>Rộng</t>
        </is>
      </c>
      <c r="C1" s="17" t="inlineStr">
        <is>
          <t>SL (0=∞)</t>
        </is>
      </c>
      <c r="D1" s="17" t="inlineStr">
        <is>
          <t>Vật liệu</t>
        </is>
      </c>
      <c r="E1" s="17" t="inlineStr">
        <is>
          <t>Kerf</t>
        </is>
      </c>
      <c r="F1" s="17" t="inlineStr">
        <is>
          <t>Xén mép</t>
        </is>
      </c>
      <c r="G1" s="17" t="inlineStr">
        <is>
          <t>Giá</t>
        </is>
      </c>
      <c r="H1" s="17" t="inlineStr">
        <is>
          <t>Ưu tiên</t>
        </is>
      </c>
      <c r="I1" s="17" t="inlineStr">
        <is>
          <t>Tồn tối thiểu</t>
        </is>
      </c>
      <c r="J1" s="17" t="inlineStr">
        <is>
          <t>Bề dày nẹp</t>
        </is>
      </c>
      <c r="L1" s="105" t="inlineStr">
        <is>
          <t>← Mục lục</t>
        </is>
      </c>
    </row>
    <row r="2">
      <c r="A2" s="18">
        <v>2440</v>
      </c>
      <c r="B2" s="18">
        <v>1220</v>
      </c>
      <c r="C2" s="18">
        <v>0</v>
      </c>
      <c r="D2" s="18" t="inlineStr">
        <is>
          <t>PLY18</t>
        </is>
      </c>
      <c r="E2" s="18">
        <v>4</v>
      </c>
      <c r="F2" s="18">
        <v>5</v>
      </c>
      <c r="G2" s="18">
        <v>520000</v>
      </c>
      <c r="H2" s="18">
        <v>0</v>
      </c>
      <c r="I2" s="18">
        <v>300</v>
      </c>
    </row>
  </sheetData>
  <hyperlinks>
    <hyperlink ref="L1" location="'Mục lục'!A35" display="← Mục lục"/>
  </hyperlink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H13"/>
  <sheetViews>
    <sheetView workbookViewId="0">
      <selection activeCell="A2" sqref="A2"/>
    </sheetView>
  </sheetViews>
  <sheetFormatPr defaultRowHeight="15"/>
  <cols>
    <col min="1" max="1" width="10.80" customWidth="1"/>
    <col min="2" max="2" width="16.80" customWidth="1"/>
    <col min="3" max="3" width="11.80" customWidth="1"/>
    <col min="4" max="4" width="12.80" customWidth="1"/>
    <col min="5" max="5" width="6.00" customWidth="1"/>
    <col min="6" max="6" width="52.80" customWidth="1"/>
    <col min="8" max="8" width="12.00" customWidth="1"/>
  </cols>
  <sheetData>
    <row r="1">
      <c r="A1" s="19" t="inlineStr">
        <is>
          <t>Ø (mm)</t>
        </is>
      </c>
      <c r="B1" s="19" t="inlineStr">
        <is>
          <t>Chiều dài (mm)</t>
        </is>
      </c>
      <c r="C1" s="19" t="inlineStr">
        <is>
          <t>Số lượng</t>
        </is>
      </c>
      <c r="D1" s="19" t="inlineStr">
        <is>
          <t>Ký hiệu</t>
        </is>
      </c>
      <c r="F1" s="20" t="inlineStr">
        <is>
          <t>◀ DỮ LIỆU VÍ DỤ</t>
        </is>
      </c>
      <c r="H1" s="105" t="inlineStr">
        <is>
          <t>← Mục lục</t>
        </is>
      </c>
    </row>
    <row r="2" ht="45.75" customHeight="1">
      <c r="A2" s="22">
        <v>25</v>
      </c>
      <c r="B2" s="22">
        <v>8300</v>
      </c>
      <c r="C2" s="22">
        <v>256</v>
      </c>
      <c r="D2" s="22">
        <v>1</v>
      </c>
      <c r="F2" s="21" t="inlineStr">
        <is>
          <t>12 dòng tô màu bên trái là ví dụ — xoá hết rồi nhập số liệu của bạn. Bốn cột này đúng bằng thứ lệnh Thống kê thép → Xuất danh sách cắt ghi ra, nên dán thẳng từ đó sang cũng được.</t>
        </is>
      </c>
    </row>
    <row r="3">
      <c r="A3" s="22">
        <v>25</v>
      </c>
      <c r="B3" s="22">
        <v>7300</v>
      </c>
      <c r="C3" s="22">
        <v>256</v>
      </c>
      <c r="D3" s="22">
        <v>2</v>
      </c>
    </row>
    <row r="4">
      <c r="A4" s="22">
        <v>16</v>
      </c>
      <c r="B4" s="22">
        <v>4620</v>
      </c>
      <c r="C4" s="22">
        <v>10</v>
      </c>
      <c r="D4" s="22">
        <v>3</v>
      </c>
    </row>
    <row r="5">
      <c r="A5" s="22">
        <v>16</v>
      </c>
      <c r="B5" s="22">
        <v>3620</v>
      </c>
      <c r="C5" s="22">
        <v>10</v>
      </c>
      <c r="D5" s="22">
        <v>4</v>
      </c>
    </row>
    <row r="6">
      <c r="A6" s="22">
        <v>16</v>
      </c>
      <c r="B6" s="22">
        <v>4830</v>
      </c>
      <c r="C6" s="22">
        <v>1</v>
      </c>
      <c r="D6" s="22">
        <v>5</v>
      </c>
    </row>
    <row r="7">
      <c r="A7" s="22">
        <v>16</v>
      </c>
      <c r="B7" s="22">
        <v>11700</v>
      </c>
      <c r="C7" s="22">
        <v>1</v>
      </c>
      <c r="D7" s="22">
        <v>6</v>
      </c>
    </row>
    <row r="8">
      <c r="A8" s="22">
        <v>16</v>
      </c>
      <c r="B8" s="22">
        <v>9790</v>
      </c>
      <c r="C8" s="22">
        <v>1</v>
      </c>
      <c r="D8" s="22">
        <v>7</v>
      </c>
    </row>
    <row r="9">
      <c r="A9" s="22">
        <v>16</v>
      </c>
      <c r="B9" s="22">
        <v>8660</v>
      </c>
      <c r="C9" s="22">
        <v>1</v>
      </c>
      <c r="D9" s="22">
        <v>9</v>
      </c>
    </row>
    <row r="10">
      <c r="A10" s="22">
        <v>16</v>
      </c>
      <c r="B10" s="22">
        <v>3700</v>
      </c>
      <c r="C10" s="22">
        <v>1</v>
      </c>
      <c r="D10" s="22">
        <v>10</v>
      </c>
    </row>
    <row r="11">
      <c r="A11" s="22">
        <v>16</v>
      </c>
      <c r="B11" s="22">
        <v>6870</v>
      </c>
      <c r="C11" s="22">
        <v>1</v>
      </c>
      <c r="D11" s="22">
        <v>11</v>
      </c>
    </row>
    <row r="12">
      <c r="A12" s="22">
        <v>10</v>
      </c>
      <c r="B12" s="22">
        <v>660</v>
      </c>
      <c r="C12" s="22">
        <v>914</v>
      </c>
      <c r="D12" s="22" t="inlineStr">
        <is>
          <t>1a</t>
        </is>
      </c>
    </row>
    <row r="13">
      <c r="A13" s="22">
        <v>8</v>
      </c>
      <c r="B13" s="22">
        <v>1380</v>
      </c>
      <c r="C13" s="22">
        <v>196</v>
      </c>
      <c r="D13" s="22" t="inlineStr">
        <is>
          <t>3a</t>
        </is>
      </c>
    </row>
  </sheetData>
  <hyperlinks>
    <hyperlink ref="H1" location="'Mục lục'!A36" display="← Mục lục"/>
  </hyperlink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I5"/>
  <sheetViews>
    <sheetView workbookViewId="0">
      <selection activeCell="A1" sqref="A1"/>
    </sheetView>
  </sheetViews>
  <sheetFormatPr defaultRowHeight="15"/>
  <cols>
    <col min="1" max="1" width="7.00" customWidth="1"/>
    <col min="2" max="2" width="5.00" customWidth="1"/>
    <col min="3" max="3" width="10.00" customWidth="1"/>
    <col min="4" max="4" width="11.00" customWidth="1"/>
    <col min="5" max="5" width="8.50" customWidth="1"/>
    <col min="6" max="6" width="8.00" customWidth="1"/>
    <col min="7" max="7" width="8.00" customWidth="1"/>
    <col min="9" max="9" width="12.00" customWidth="1"/>
  </cols>
  <sheetData>
    <row r="1">
      <c r="A1" s="17" t="inlineStr">
        <is>
          <t>Dài</t>
        </is>
      </c>
      <c r="B1" s="17" t="inlineStr">
        <is>
          <t>SL</t>
        </is>
      </c>
      <c r="C1" s="17" t="inlineStr">
        <is>
          <t>Vật liệu</t>
        </is>
      </c>
      <c r="D1" s="17" t="inlineStr">
        <is>
          <t>Nhãn</t>
        </is>
      </c>
      <c r="E1" s="17" t="inlineStr">
        <is>
          <t>Ưu tiên</t>
        </is>
      </c>
      <c r="I1" s="105" t="inlineStr">
        <is>
          <t>← Mục lục</t>
        </is>
      </c>
    </row>
    <row r="2">
      <c r="A2" s="18">
        <v>2100</v>
      </c>
      <c r="B2" s="18">
        <v>4</v>
      </c>
      <c r="C2" s="18" t="inlineStr">
        <is>
          <t>Hộp 50x50</t>
        </is>
      </c>
      <c r="D2" s="18" t="inlineStr">
        <is>
          <t>Cột</t>
        </is>
      </c>
      <c r="E2" s="18">
        <v>0</v>
      </c>
    </row>
    <row r="3">
      <c r="A3" s="18">
        <v>1500</v>
      </c>
      <c r="B3" s="18">
        <v>6</v>
      </c>
      <c r="C3" s="18" t="inlineStr">
        <is>
          <t>Hộp 50x50</t>
        </is>
      </c>
      <c r="D3" s="18" t="inlineStr">
        <is>
          <t>Xà ngang</t>
        </is>
      </c>
      <c r="E3" s="18">
        <v>0</v>
      </c>
    </row>
    <row r="4">
      <c r="A4" s="18">
        <v>1200</v>
      </c>
      <c r="B4" s="18">
        <v>10</v>
      </c>
      <c r="C4" s="18" t="inlineStr">
        <is>
          <t>Hộp 50x50</t>
        </is>
      </c>
      <c r="D4" s="18" t="inlineStr">
        <is>
          <t>Thanh giằng</t>
        </is>
      </c>
      <c r="E4" s="18">
        <v>0</v>
      </c>
    </row>
    <row r="5">
      <c r="A5" s="18">
        <v>800</v>
      </c>
      <c r="B5" s="18">
        <v>8</v>
      </c>
      <c r="C5" s="18" t="inlineStr">
        <is>
          <t>Hộp 50x50</t>
        </is>
      </c>
      <c r="D5" s="18" t="inlineStr">
        <is>
          <t>Đố</t>
        </is>
      </c>
      <c r="E5" s="18">
        <v>0</v>
      </c>
    </row>
  </sheetData>
  <hyperlinks>
    <hyperlink ref="I1" location="'Mục lục'!A37" display="← Mục lục"/>
  </hyperlink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3"/>
  <sheetViews>
    <sheetView workbookViewId="0">
      <selection activeCell="A2" sqref="A2:G3"/>
    </sheetView>
  </sheetViews>
  <sheetFormatPr defaultRowHeight="15"/>
  <cols>
    <col min="1" max="1" width="7.00" customWidth="1"/>
    <col min="2" max="2" width="6.50" customWidth="1"/>
    <col min="3" max="3" width="5.00" customWidth="1"/>
    <col min="4" max="4" width="9.00" customWidth="1"/>
    <col min="5" max="5" width="11.50" customWidth="1"/>
    <col min="6" max="6" width="12.00" customWidth="1"/>
    <col min="7" max="7" width="8.50" customWidth="1"/>
    <col min="8" max="8" width="13.50" customWidth="1"/>
    <col min="9" max="9" width="13.50" customWidth="1"/>
    <col min="11" max="11" width="12.00" customWidth="1"/>
  </cols>
  <sheetData>
    <row r="1">
      <c r="A1" s="17" t="inlineStr">
        <is>
          <t>Dài</t>
        </is>
      </c>
      <c r="B1" s="17" t="inlineStr">
        <is>
          <t>Rộng</t>
        </is>
      </c>
      <c r="C1" s="17" t="inlineStr">
        <is>
          <t>SL</t>
        </is>
      </c>
      <c r="D1" s="17" t="inlineStr">
        <is>
          <t>Vật liệu</t>
        </is>
      </c>
      <c r="E1" s="17" t="inlineStr">
        <is>
          <t>Xoay (1/0)</t>
        </is>
      </c>
      <c r="F1" s="17" t="inlineStr">
        <is>
          <t>Nhãn</t>
        </is>
      </c>
      <c r="G1" s="17" t="inlineStr">
        <is>
          <t>Ưu tiên</t>
        </is>
      </c>
      <c r="H1" s="17" t="inlineStr">
        <is>
          <t>Nẹp (T B L R)</t>
        </is>
      </c>
      <c r="I1" s="17" t="inlineStr">
        <is>
          <t>Mài (T B L R)</t>
        </is>
      </c>
      <c r="K1" s="105" t="inlineStr">
        <is>
          <t>← Mục lục</t>
        </is>
      </c>
    </row>
    <row r="2">
      <c r="A2" s="18">
        <v>1450</v>
      </c>
      <c r="B2" s="18">
        <v>900</v>
      </c>
      <c r="C2" s="18">
        <v>22</v>
      </c>
      <c r="D2" s="18" t="inlineStr">
        <is>
          <t>KINH8</t>
        </is>
      </c>
      <c r="E2" s="18">
        <v>0</v>
      </c>
      <c r="F2" s="18" t="inlineStr">
        <is>
          <t>Vách trục A</t>
        </is>
      </c>
      <c r="G2" s="18">
        <v>0</v>
      </c>
    </row>
    <row r="3">
      <c r="A3" s="18">
        <v>1450</v>
      </c>
      <c r="B3" s="18">
        <v>600</v>
      </c>
      <c r="C3" s="18">
        <v>14</v>
      </c>
      <c r="D3" s="18" t="inlineStr">
        <is>
          <t>KINH8</t>
        </is>
      </c>
      <c r="E3" s="18">
        <v>0</v>
      </c>
      <c r="F3" s="18" t="inlineStr">
        <is>
          <t>Vách trục B</t>
        </is>
      </c>
      <c r="G3" s="18">
        <v>0</v>
      </c>
    </row>
  </sheetData>
  <hyperlinks>
    <hyperlink ref="K1" location="'Mục lục'!A38" display="← Mục lục"/>
  </hyperlink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H9"/>
  <sheetViews>
    <sheetView workbookViewId="0">
      <selection activeCell="A4" sqref="A4:F9"/>
    </sheetView>
  </sheetViews>
  <sheetFormatPr defaultRowHeight="15"/>
  <cols>
    <col min="1" max="1" width="4.00" customWidth="1"/>
    <col min="2" max="2" width="34.00" customWidth="1"/>
    <col min="3" max="3" width="11.00" customWidth="1"/>
    <col min="4" max="4" width="11.00" customWidth="1"/>
    <col min="5" max="5" width="11.00" customWidth="1"/>
    <col min="6" max="6" width="23.00" customWidth="1"/>
    <col min="8" max="8" width="12.00" customWidth="1"/>
  </cols>
  <sheetData>
    <row r="1">
      <c r="A1" s="1" t="inlineStr">
        <is>
          <t>DANH MỤC CÔNG TÁC – NHÀ VĂN PHÒNG 9 TẦNG</t>
        </is>
      </c>
      <c r="H1" s="105" t="inlineStr">
        <is>
          <t>← Mục lục</t>
        </is>
      </c>
    </row>
    <row r="2">
      <c r="B2" s="23" t="inlineStr">
        <is>
          <t>Kỳ nhật ký từ ngày:</t>
        </is>
      </c>
      <c r="C2" s="24">
        <v>46328</v>
      </c>
      <c r="D2" s="23" t="inlineStr">
        <is>
          <t>đến ngày:</t>
        </is>
      </c>
      <c r="E2" s="24">
        <v>46334</v>
      </c>
    </row>
    <row r="4">
      <c r="A4" s="3" t="inlineStr">
        <is>
          <t>TT</t>
        </is>
      </c>
      <c r="B4" s="3" t="inlineStr">
        <is>
          <t>Nội dung công việc</t>
        </is>
      </c>
      <c r="C4" s="3" t="inlineStr">
        <is>
          <t>Bắt đầu</t>
        </is>
      </c>
      <c r="D4" s="3" t="inlineStr">
        <is>
          <t>Kết thúc</t>
        </is>
      </c>
      <c r="E4" s="3" t="inlineStr">
        <is>
          <t>Ngày NT</t>
        </is>
      </c>
      <c r="F4" s="3" t="inlineStr">
        <is>
          <t>Ngày nghỉ</t>
        </is>
      </c>
    </row>
    <row r="5">
      <c r="A5" s="6">
        <v>1</v>
      </c>
      <c r="B5" s="4" t="inlineStr">
        <is>
          <t>Lắp dựng cốt thép cột tầng 5</t>
        </is>
      </c>
      <c r="C5" s="12">
        <v>46328</v>
      </c>
      <c r="D5" s="12">
        <v>46329</v>
      </c>
      <c r="E5" s="12">
        <v>46330</v>
      </c>
      <c r="F5" s="4"/>
    </row>
    <row r="6">
      <c r="A6" s="6">
        <v>2</v>
      </c>
      <c r="B6" s="4" t="inlineStr">
        <is>
          <t>Lắp dựng ván khuôn cột tầng 5</t>
        </is>
      </c>
      <c r="C6" s="12">
        <v>46329</v>
      </c>
      <c r="D6" s="12">
        <v>46330</v>
      </c>
      <c r="E6" s="12">
        <v>46330</v>
      </c>
      <c r="F6" s="4"/>
    </row>
    <row r="7">
      <c r="A7" s="6">
        <v>3</v>
      </c>
      <c r="B7" s="4" t="inlineStr">
        <is>
          <t>Đổ bê tông cột tầng 5</t>
        </is>
      </c>
      <c r="C7" s="12">
        <v>46331</v>
      </c>
      <c r="D7" s="12">
        <v>46331</v>
      </c>
      <c r="E7" s="12">
        <v>46332</v>
      </c>
      <c r="F7" s="4"/>
    </row>
    <row r="8">
      <c r="A8" s="6">
        <v>4</v>
      </c>
      <c r="B8" s="4" t="inlineStr">
        <is>
          <t>Lắp dựng ván khuôn dầm sàn tầng 6</t>
        </is>
      </c>
      <c r="C8" s="12">
        <v>46332</v>
      </c>
      <c r="D8" s="12">
        <v>46334</v>
      </c>
      <c r="E8" s="12">
        <v>46335</v>
      </c>
      <c r="F8" s="4"/>
    </row>
    <row r="9">
      <c r="A9" s="6">
        <v>5</v>
      </c>
      <c r="B9" s="4" t="inlineStr">
        <is>
          <t>Xây tường bao tầng 3</t>
        </is>
      </c>
      <c r="C9" s="12">
        <v>46328</v>
      </c>
      <c r="D9" s="12">
        <v>46334</v>
      </c>
      <c r="E9" s="12">
        <v>46336</v>
      </c>
      <c r="F9" s="4" t="inlineStr">
        <is>
          <t>04/11/2026+06/11/2026</t>
        </is>
      </c>
    </row>
  </sheetData>
  <hyperlinks>
    <hyperlink ref="H1" location="'Mục lục'!A39" display="← Mục lục"/>
  </hyperlink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I9"/>
  <sheetViews>
    <sheetView workbookViewId="0">
      <selection activeCell="A4" sqref="A4:G9"/>
    </sheetView>
  </sheetViews>
  <sheetFormatPr defaultRowHeight="15"/>
  <cols>
    <col min="1" max="1" width="5.00" customWidth="1"/>
    <col min="2" max="2" width="8.00" customWidth="1"/>
    <col min="3" max="3" width="28.00" customWidth="1"/>
    <col min="4" max="4" width="15.00" customWidth="1"/>
    <col min="5" max="5" width="11.00" customWidth="1"/>
    <col min="6" max="6" width="11.00" customWidth="1"/>
    <col min="7" max="7" width="16.00" customWidth="1"/>
    <col min="9" max="9" width="12.00" customWidth="1"/>
  </cols>
  <sheetData>
    <row r="1">
      <c r="A1" s="1" t="inlineStr">
        <is>
          <t>THEO DÕI HỒ SƠ NGHIỆM THU – NHÀ VĂN PHÒNG 9 TẦNG</t>
        </is>
      </c>
      <c r="I1" s="105" t="inlineStr">
        <is>
          <t>← Mục lục</t>
        </is>
      </c>
    </row>
    <row r="3">
      <c r="A3" s="3" t="inlineStr">
        <is>
          <t>STT</t>
        </is>
      </c>
      <c r="B3" s="3" t="inlineStr">
        <is>
          <t>Mã CV</t>
        </is>
      </c>
      <c r="C3" s="3" t="inlineStr">
        <is>
          <t>Công việc nghiệm thu</t>
        </is>
      </c>
      <c r="D3" s="3" t="inlineStr">
        <is>
          <t>Vị trí</t>
        </is>
      </c>
      <c r="E3" s="3" t="inlineStr">
        <is>
          <t>Ngày NT</t>
        </is>
      </c>
      <c r="F3" s="3" t="inlineStr">
        <is>
          <t>Số BBNT</t>
        </is>
      </c>
      <c r="G3" s="3" t="inlineStr">
        <is>
          <t>Ghi chú</t>
        </is>
      </c>
    </row>
    <row r="4">
      <c r="A4" s="25" t="inlineStr">
        <is>
          <t>A. PHẦN MÓNG</t>
        </is>
      </c>
      <c r="B4" s="4"/>
      <c r="C4" s="4"/>
      <c r="D4" s="4"/>
      <c r="E4" s="4"/>
      <c r="F4" s="4"/>
      <c r="G4" s="4"/>
    </row>
    <row r="5">
      <c r="A5" s="6">
        <v>1</v>
      </c>
      <c r="B5" s="4" t="inlineStr">
        <is>
          <t>DD-01</t>
        </is>
      </c>
      <c r="C5" s="4" t="inlineStr">
        <is>
          <t>Đào đất hố móng M1–M6</t>
        </is>
      </c>
      <c r="D5" s="4" t="inlineStr">
        <is>
          <t>Trục 1–3 / A–C</t>
        </is>
      </c>
      <c r="E5" s="12">
        <v>46304</v>
      </c>
      <c r="F5" s="4" t="inlineStr">
        <is>
          <t>NTCV-001</t>
        </is>
      </c>
      <c r="G5" s="4"/>
    </row>
    <row r="6">
      <c r="A6" s="6">
        <v>2</v>
      </c>
      <c r="B6" s="4" t="inlineStr">
        <is>
          <t>BTL-01</t>
        </is>
      </c>
      <c r="C6" s="4" t="inlineStr">
        <is>
          <t>Bê tông lót móng M1–M6</t>
        </is>
      </c>
      <c r="D6" s="4" t="inlineStr">
        <is>
          <t>Trục 1–3 / A–C</t>
        </is>
      </c>
      <c r="E6" s="12">
        <v>46306</v>
      </c>
      <c r="F6" s="4" t="inlineStr">
        <is>
          <t>NTCV-002</t>
        </is>
      </c>
      <c r="G6" s="4"/>
    </row>
    <row r="7">
      <c r="A7" s="6">
        <v>3</v>
      </c>
      <c r="B7" s="4" t="inlineStr">
        <is>
          <t>CT-01</t>
        </is>
      </c>
      <c r="C7" s="4" t="inlineStr">
        <is>
          <t>Cốt thép móng M1–M6</t>
        </is>
      </c>
      <c r="D7" s="4" t="inlineStr">
        <is>
          <t>Trục 1–3 / A–C</t>
        </is>
      </c>
      <c r="E7" s="12">
        <v>46310</v>
      </c>
      <c r="F7" s="4" t="inlineStr">
        <is>
          <t>NTCV-003</t>
        </is>
      </c>
      <c r="G7" s="4"/>
    </row>
    <row r="8">
      <c r="A8" s="6">
        <v>4</v>
      </c>
      <c r="B8" s="4" t="inlineStr">
        <is>
          <t>VK-01</t>
        </is>
      </c>
      <c r="C8" s="4" t="inlineStr">
        <is>
          <t>Ván khuôn móng M1–M6</t>
        </is>
      </c>
      <c r="D8" s="4" t="inlineStr">
        <is>
          <t>Trục 1–3 / A–C</t>
        </is>
      </c>
      <c r="E8" s="12">
        <v>46311</v>
      </c>
      <c r="F8" s="4" t="inlineStr">
        <is>
          <t>NTCV-004</t>
        </is>
      </c>
      <c r="G8" s="4"/>
    </row>
    <row r="9">
      <c r="A9" s="6">
        <v>5</v>
      </c>
      <c r="B9" s="4" t="inlineStr">
        <is>
          <t>BT-01</t>
        </is>
      </c>
      <c r="C9" s="4" t="inlineStr">
        <is>
          <t>Bê tông móng M1–M6 (B25)</t>
        </is>
      </c>
      <c r="D9" s="4" t="inlineStr">
        <is>
          <t>Trục 1–3 / A–C</t>
        </is>
      </c>
      <c r="E9" s="12">
        <v>46313</v>
      </c>
      <c r="F9" s="4" t="inlineStr">
        <is>
          <t>NTCV-005</t>
        </is>
      </c>
      <c r="G9" s="4" t="inlineStr">
        <is>
          <t>Kèm 3 tổ mẫu</t>
        </is>
      </c>
    </row>
  </sheetData>
  <hyperlinks>
    <hyperlink ref="I1" location="'Mục lục'!A40" display="← Mục lục"/>
  </hyperlink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H9"/>
  <sheetViews>
    <sheetView workbookViewId="0">
      <selection activeCell="F9" sqref="F9"/>
    </sheetView>
  </sheetViews>
  <sheetFormatPr defaultRowHeight="15"/>
  <cols>
    <col min="1" max="1" width="4.00" customWidth="1"/>
    <col min="2" max="2" width="34.00" customWidth="1"/>
    <col min="3" max="3" width="11.00" customWidth="1"/>
    <col min="4" max="4" width="11.00" customWidth="1"/>
    <col min="5" max="5" width="11.00" customWidth="1"/>
    <col min="6" max="6" width="23.00" customWidth="1"/>
    <col min="8" max="8" width="12.00" customWidth="1"/>
  </cols>
  <sheetData>
    <row r="1">
      <c r="A1" s="1" t="inlineStr">
        <is>
          <t>DANH MỤC CÔNG TÁC – NHÀ VĂN PHÒNG 9 TẦNG</t>
        </is>
      </c>
      <c r="H1" s="105" t="inlineStr">
        <is>
          <t>← Mục lục</t>
        </is>
      </c>
    </row>
    <row r="2">
      <c r="B2" s="23" t="inlineStr">
        <is>
          <t>Kỳ nhật ký từ ngày:</t>
        </is>
      </c>
      <c r="C2" s="24">
        <v>46328</v>
      </c>
      <c r="D2" s="23" t="inlineStr">
        <is>
          <t>đến ngày:</t>
        </is>
      </c>
      <c r="E2" s="24">
        <v>46334</v>
      </c>
    </row>
    <row r="4">
      <c r="A4" s="3" t="inlineStr">
        <is>
          <t>TT</t>
        </is>
      </c>
      <c r="B4" s="3" t="inlineStr">
        <is>
          <t>Nội dung công việc</t>
        </is>
      </c>
      <c r="C4" s="3" t="inlineStr">
        <is>
          <t>Bắt đầu</t>
        </is>
      </c>
      <c r="D4" s="3" t="inlineStr">
        <is>
          <t>Kết thúc</t>
        </is>
      </c>
      <c r="E4" s="3" t="inlineStr">
        <is>
          <t>Ngày NT</t>
        </is>
      </c>
      <c r="F4" s="3" t="inlineStr">
        <is>
          <t>Ngày nghỉ</t>
        </is>
      </c>
    </row>
    <row r="5">
      <c r="A5" s="6">
        <v>1</v>
      </c>
      <c r="B5" s="4" t="inlineStr">
        <is>
          <t>Lắp dựng cốt thép cột tầng 5</t>
        </is>
      </c>
      <c r="C5" s="12">
        <v>46328</v>
      </c>
      <c r="D5" s="12">
        <v>46329</v>
      </c>
      <c r="E5" s="12">
        <v>46330</v>
      </c>
      <c r="F5" s="4"/>
    </row>
    <row r="6">
      <c r="A6" s="6">
        <v>2</v>
      </c>
      <c r="B6" s="4" t="inlineStr">
        <is>
          <t>Lắp dựng ván khuôn cột tầng 5</t>
        </is>
      </c>
      <c r="C6" s="12">
        <v>46329</v>
      </c>
      <c r="D6" s="12">
        <v>46330</v>
      </c>
      <c r="E6" s="12">
        <v>46330</v>
      </c>
      <c r="F6" s="4"/>
    </row>
    <row r="7">
      <c r="A7" s="6">
        <v>3</v>
      </c>
      <c r="B7" s="4" t="inlineStr">
        <is>
          <t>Đổ bê tông cột tầng 5</t>
        </is>
      </c>
      <c r="C7" s="12">
        <v>46331</v>
      </c>
      <c r="D7" s="12">
        <v>46331</v>
      </c>
      <c r="E7" s="12">
        <v>46332</v>
      </c>
      <c r="F7" s="4"/>
    </row>
    <row r="8">
      <c r="A8" s="6">
        <v>4</v>
      </c>
      <c r="B8" s="4" t="inlineStr">
        <is>
          <t>Lắp dựng ván khuôn dầm sàn tầng 6</t>
        </is>
      </c>
      <c r="C8" s="12">
        <v>46332</v>
      </c>
      <c r="D8" s="12">
        <v>46334</v>
      </c>
      <c r="E8" s="12">
        <v>46335</v>
      </c>
      <c r="F8" s="4"/>
    </row>
    <row r="9">
      <c r="A9" s="6">
        <v>5</v>
      </c>
      <c r="B9" s="4" t="inlineStr">
        <is>
          <t>Xây tường bao tầng 3</t>
        </is>
      </c>
      <c r="C9" s="12">
        <v>46328</v>
      </c>
      <c r="D9" s="12">
        <v>46334</v>
      </c>
      <c r="E9" s="12">
        <v>46336</v>
      </c>
      <c r="F9" s="4"/>
    </row>
  </sheetData>
  <hyperlinks>
    <hyperlink ref="H1" location="'Mục lục'!A41" display="← Mục lục"/>
  </hyperlink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E16"/>
  <sheetViews>
    <sheetView workbookViewId="0">
      <selection activeCell="C3" sqref="C3"/>
    </sheetView>
  </sheetViews>
  <sheetFormatPr defaultRowHeight="15"/>
  <cols>
    <col min="1" max="1" width="8.40" customWidth="1"/>
    <col min="2" max="2" width="20.90" customWidth="1"/>
    <col min="3" max="3" width="59.90" customWidth="1"/>
    <col min="5" max="5" width="12.00" customWidth="1"/>
  </cols>
  <sheetData>
    <row r="1">
      <c r="A1" s="26" t="inlineStr">
        <is>
          <t>Mucluc</t>
        </is>
      </c>
      <c r="E1" s="105" t="inlineStr">
        <is>
          <t>← Mục lục</t>
        </is>
      </c>
    </row>
    <row r="2">
      <c r="B2" s="1" t="inlineStr">
        <is>
          <t>THÔNG TIN CHUNG</t>
        </is>
      </c>
    </row>
    <row r="3">
      <c r="B3" s="4" t="inlineStr">
        <is>
          <t>Dự án</t>
        </is>
      </c>
      <c r="C3" s="27" t="inlineStr">
        <is>
          <t>Đầu tư xây dựng Nhà văn phòng 9 tầng</t>
        </is>
      </c>
    </row>
    <row r="4">
      <c r="B4" s="4" t="inlineStr">
        <is>
          <t>Công trình</t>
        </is>
      </c>
      <c r="C4" s="27" t="inlineStr">
        <is>
          <t>Nhà văn phòng 9 tầng</t>
        </is>
      </c>
    </row>
    <row r="5">
      <c r="B5" s="4" t="inlineStr">
        <is>
          <t>Địa điểm</t>
        </is>
      </c>
      <c r="C5" s="27" t="inlineStr">
        <is>
          <t>Phường Dịch Vọng, Quận Cầu Giấy, TP Hà Nội</t>
        </is>
      </c>
    </row>
    <row r="6">
      <c r="B6" s="4" t="inlineStr">
        <is>
          <t>Tỉnh thành</t>
        </is>
      </c>
      <c r="C6" s="27" t="inlineStr">
        <is>
          <t>Hà Nội</t>
        </is>
      </c>
    </row>
    <row r="7">
      <c r="B7" s="4" t="inlineStr">
        <is>
          <t>Hợp đồng</t>
        </is>
      </c>
      <c r="C7" s="27" t="inlineStr">
        <is>
          <t>15/2026/HĐTC-XL02</t>
        </is>
      </c>
    </row>
    <row r="8">
      <c r="B8" s="4" t="inlineStr">
        <is>
          <t>Ngày ký hợp đồng</t>
        </is>
      </c>
      <c r="C8" s="28">
        <v>46188</v>
      </c>
    </row>
    <row r="9">
      <c r="B9" s="4" t="inlineStr">
        <is>
          <t>Phụ lục hợp đồng</t>
        </is>
      </c>
      <c r="C9" s="4"/>
    </row>
    <row r="10">
      <c r="B10" s="4" t="inlineStr">
        <is>
          <t>Ngày ký PLHĐ</t>
        </is>
      </c>
      <c r="C10" s="4"/>
    </row>
    <row r="11">
      <c r="B11" s="4" t="inlineStr">
        <is>
          <t>Gói thầu</t>
        </is>
      </c>
      <c r="C11" s="27" t="inlineStr">
        <is>
          <t>XL-02: Thi công xây dựng phần thân</t>
        </is>
      </c>
    </row>
    <row r="12">
      <c r="B12" s="4" t="inlineStr">
        <is>
          <t>Chủ đầu tư</t>
        </is>
      </c>
      <c r="C12" s="27" t="inlineStr">
        <is>
          <t>Công ty CP Đầu tư PQR</t>
        </is>
      </c>
    </row>
    <row r="13">
      <c r="B13" s="4" t="inlineStr">
        <is>
          <t>Tư vấn thiết kế</t>
        </is>
      </c>
      <c r="C13" s="27" t="inlineStr">
        <is>
          <t>Công ty CP Tư vấn Thiết kế MNO</t>
        </is>
      </c>
    </row>
    <row r="14">
      <c r="B14" s="4" t="inlineStr">
        <is>
          <t>Tư vấn giám sát</t>
        </is>
      </c>
      <c r="C14" s="27" t="inlineStr">
        <is>
          <t>Công ty Tư vấn ABC</t>
        </is>
      </c>
    </row>
    <row r="15">
      <c r="B15" s="4" t="inlineStr">
        <is>
          <t>Nhà thầu thi công</t>
        </is>
      </c>
      <c r="C15" s="27" t="inlineStr">
        <is>
          <t>Công ty Xây dựng XYZ</t>
        </is>
      </c>
    </row>
    <row r="16">
      <c r="B16" s="4" t="inlineStr">
        <is>
          <t>Giấy phép xây dựng</t>
        </is>
      </c>
      <c r="C16" s="27" t="inlineStr">
        <is>
          <t>125/GPXD</t>
        </is>
      </c>
    </row>
  </sheetData>
  <hyperlinks>
    <hyperlink ref="E1" location="'Mục lục'!A42" display="← Mục lục"/>
  </hyperlink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E16"/>
  <sheetViews>
    <sheetView workbookViewId="0">
      <selection activeCell="C3" sqref="C3"/>
    </sheetView>
  </sheetViews>
  <sheetFormatPr defaultRowHeight="15"/>
  <cols>
    <col min="1" max="1" width="8.40" customWidth="1"/>
    <col min="2" max="2" width="26.90" customWidth="1"/>
    <col min="3" max="3" width="52.00" customWidth="1"/>
    <col min="5" max="5" width="12.00" customWidth="1"/>
  </cols>
  <sheetData>
    <row r="1">
      <c r="A1" s="26" t="inlineStr">
        <is>
          <t>Mucluc</t>
        </is>
      </c>
      <c r="E1" s="105" t="inlineStr">
        <is>
          <t>← Mục lục</t>
        </is>
      </c>
    </row>
    <row r="2">
      <c r="B2" s="1" t="inlineStr">
        <is>
          <t>THÔNG TIN CHUNG</t>
        </is>
      </c>
    </row>
    <row r="3">
      <c r="B3" s="4" t="inlineStr">
        <is>
          <t>Dự án</t>
        </is>
      </c>
      <c r="C3" s="27" t="inlineStr">
        <is>
          <t>Đầu tư xây dựng Nhà văn phòng 9 tầng</t>
        </is>
      </c>
    </row>
    <row r="4">
      <c r="B4" s="4" t="inlineStr">
        <is>
          <t>Công trình</t>
        </is>
      </c>
      <c r="C4" s="27" t="inlineStr">
        <is>
          <t>Nhà văn phòng 9 tầng</t>
        </is>
      </c>
    </row>
    <row r="5">
      <c r="B5" s="4" t="inlineStr">
        <is>
          <t>Địa điểm</t>
        </is>
      </c>
      <c r="C5" s="27" t="inlineStr">
        <is>
          <t>Phường Dịch Vọng, Quận Cầu Giấy, TP Hà Nội</t>
        </is>
      </c>
    </row>
    <row r="6">
      <c r="B6" s="4" t="inlineStr">
        <is>
          <t>Tỉnh thành</t>
        </is>
      </c>
      <c r="C6" s="27" t="inlineStr">
        <is>
          <t>Hà Nội</t>
        </is>
      </c>
    </row>
    <row r="7">
      <c r="B7" s="4" t="inlineStr">
        <is>
          <t>Hợp đồng</t>
        </is>
      </c>
      <c r="C7" s="27" t="inlineStr">
        <is>
          <t>15/2026/HĐTC-XL02</t>
        </is>
      </c>
    </row>
    <row r="8">
      <c r="B8" s="4" t="inlineStr">
        <is>
          <t>Ngày ký hợp đồng</t>
        </is>
      </c>
      <c r="C8" s="28">
        <v>46188</v>
      </c>
    </row>
    <row r="9">
      <c r="B9" s="4" t="inlineStr">
        <is>
          <t>Phụ lục hợp đồng</t>
        </is>
      </c>
      <c r="C9" s="4"/>
    </row>
    <row r="10">
      <c r="B10" s="4" t="inlineStr">
        <is>
          <t>Ngày ký PLHĐ</t>
        </is>
      </c>
      <c r="C10" s="4"/>
    </row>
    <row r="11">
      <c r="B11" s="4" t="inlineStr">
        <is>
          <t>Gói thầu</t>
        </is>
      </c>
      <c r="C11" s="27" t="inlineStr">
        <is>
          <t>XL-02: Thi công xây dựng phần thân</t>
        </is>
      </c>
    </row>
    <row r="12">
      <c r="B12" s="4" t="inlineStr">
        <is>
          <t>Chủ đầu tư</t>
        </is>
      </c>
      <c r="C12" s="27" t="inlineStr">
        <is>
          <t>Công ty CP Đầu tư PQR</t>
        </is>
      </c>
    </row>
    <row r="13">
      <c r="B13" s="4" t="inlineStr">
        <is>
          <t>Tư vấn thiết kế</t>
        </is>
      </c>
      <c r="C13" s="27" t="inlineStr">
        <is>
          <t>Công ty CP Tư vấn Thiết kế MNO</t>
        </is>
      </c>
    </row>
    <row r="14">
      <c r="B14" s="4" t="inlineStr">
        <is>
          <t>Tư vấn giám sát</t>
        </is>
      </c>
      <c r="C14" s="27" t="inlineStr">
        <is>
          <t>Công ty Tư vấn ABC</t>
        </is>
      </c>
    </row>
    <row r="15">
      <c r="B15" s="4" t="inlineStr">
        <is>
          <t>Nhà thầu thi công</t>
        </is>
      </c>
      <c r="C15" s="27" t="inlineStr">
        <is>
          <t>Công ty Xây dựng XYZ</t>
        </is>
      </c>
    </row>
    <row r="16">
      <c r="B16" s="4" t="inlineStr">
        <is>
          <t>Giấy phép xây dựng</t>
        </is>
      </c>
      <c r="C16" s="27" t="inlineStr">
        <is>
          <t>125/GPXD</t>
        </is>
      </c>
    </row>
  </sheetData>
  <hyperlinks>
    <hyperlink ref="E1" location="'Mục lục'!A43" display="← Mục lục"/>
  </hyperlink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K16"/>
  <sheetViews>
    <sheetView workbookViewId="0">
      <selection activeCell="F2" sqref="F2:I2"/>
    </sheetView>
  </sheetViews>
  <sheetFormatPr defaultRowHeight="15"/>
  <cols>
    <col min="1" max="1" width="3.00" customWidth="1"/>
    <col min="2" max="2" width="8.80" customWidth="1"/>
    <col min="3" max="3" width="14.60" customWidth="1"/>
    <col min="4" max="4" width="18.30" customWidth="1"/>
    <col min="5" max="5" width="12.00" customWidth="1"/>
    <col min="6" max="6" width="11.00" customWidth="1"/>
    <col min="7" max="7" width="11.20" customWidth="1"/>
    <col min="8" max="8" width="13.30" customWidth="1"/>
    <col min="9" max="9" width="12.00" customWidth="1"/>
    <col min="11" max="11" width="12.00" customWidth="1"/>
  </cols>
  <sheetData>
    <row r="1" ht="25.50" customHeight="1">
      <c r="B1" s="29" t="inlineStr">
        <is>
          <t>NHẬT KÝ CÔNG TRÌNH</t>
        </is>
      </c>
      <c r="K1" s="105" t="inlineStr">
        <is>
          <t>← Mục lục</t>
        </is>
      </c>
    </row>
    <row r="2">
      <c r="F2" s="30" t="str">
        <f>DATA!$B$3</f>
        <v>Tỉnh/TP, ngày 05 tháng 11 năm 2026</v>
      </c>
    </row>
    <row r="3">
      <c r="B3" s="1" t="inlineStr">
        <is>
          <t>I. Điều kiện thời tiết:</t>
        </is>
      </c>
      <c r="D3" s="18" t="inlineStr">
        <is>
          <t>Nắng</t>
        </is>
      </c>
      <c r="H3" s="18" t="inlineStr">
        <is>
          <t>Nhiệt độ TB:</t>
        </is>
      </c>
      <c r="I3" s="18">
        <v>28</v>
      </c>
    </row>
    <row r="4">
      <c r="B4" s="1" t="inlineStr">
        <is>
          <t>II. Nhân lực, máy móc thiết bị:</t>
        </is>
      </c>
    </row>
    <row r="6">
      <c r="B6" s="31" t="inlineStr">
        <is>
          <t>Nhân lực</t>
        </is>
      </c>
      <c r="C6" s="4"/>
      <c r="D6" s="4"/>
      <c r="E6" s="31" t="inlineStr">
        <is>
          <t>Số lượng</t>
        </is>
      </c>
      <c r="F6" s="31" t="inlineStr">
        <is>
          <t>Máy móc thiết bị</t>
        </is>
      </c>
      <c r="G6" s="4"/>
      <c r="H6" s="4"/>
      <c r="I6" s="31" t="inlineStr">
        <is>
          <t>Số lượng</t>
        </is>
      </c>
    </row>
    <row r="7">
      <c r="B7" s="4" t="inlineStr">
        <is>
          <t>Chỉ huy công trường</t>
        </is>
      </c>
      <c r="C7" s="4"/>
      <c r="D7" s="4"/>
      <c r="E7" s="6">
        <v>1</v>
      </c>
      <c r="F7" s="4" t="inlineStr">
        <is>
          <t>Máy ép cọc</t>
        </is>
      </c>
      <c r="G7" s="4"/>
      <c r="H7" s="4"/>
      <c r="I7" s="4"/>
    </row>
    <row r="8">
      <c r="B8" s="4" t="inlineStr">
        <is>
          <t>Kỹ sư</t>
        </is>
      </c>
      <c r="C8" s="4"/>
      <c r="D8" s="4"/>
      <c r="E8" s="6">
        <v>4</v>
      </c>
      <c r="F8" s="4" t="inlineStr">
        <is>
          <t>Xe đào</t>
        </is>
      </c>
      <c r="G8" s="4"/>
      <c r="H8" s="4"/>
      <c r="I8" s="6">
        <v>1</v>
      </c>
    </row>
    <row r="9">
      <c r="B9" s="4" t="inlineStr">
        <is>
          <t>Cán bộ ATLĐ&amp;VSMT</t>
        </is>
      </c>
      <c r="C9" s="4"/>
      <c r="D9" s="4"/>
      <c r="E9" s="6">
        <v>1</v>
      </c>
      <c r="F9" s="4" t="inlineStr">
        <is>
          <t>Xe ủi</t>
        </is>
      </c>
      <c r="G9" s="4"/>
      <c r="H9" s="4"/>
      <c r="I9" s="4"/>
    </row>
    <row r="10">
      <c r="B10" s="4" t="inlineStr">
        <is>
          <t>Thủ kho</t>
        </is>
      </c>
      <c r="C10" s="4"/>
      <c r="D10" s="4"/>
      <c r="E10" s="6">
        <v>1</v>
      </c>
      <c r="F10" s="4" t="inlineStr">
        <is>
          <t>Xe lu</t>
        </is>
      </c>
      <c r="G10" s="4"/>
      <c r="H10" s="4"/>
      <c r="I10" s="4"/>
    </row>
    <row r="11">
      <c r="B11" s="4" t="inlineStr">
        <is>
          <t>Bảo vệ</t>
        </is>
      </c>
      <c r="C11" s="4"/>
      <c r="D11" s="4"/>
      <c r="E11" s="6">
        <v>2</v>
      </c>
      <c r="F11" s="4" t="inlineStr">
        <is>
          <t>Máy trộn</t>
        </is>
      </c>
      <c r="G11" s="4"/>
      <c r="H11" s="4"/>
      <c r="I11" s="6">
        <v>1</v>
      </c>
    </row>
    <row r="12">
      <c r="B12" s="4" t="inlineStr">
        <is>
          <t>Công nhân</t>
        </is>
      </c>
      <c r="C12" s="4"/>
      <c r="D12" s="4"/>
      <c r="E12" s="6">
        <v>45</v>
      </c>
      <c r="F12" s="4" t="inlineStr">
        <is>
          <t>Máy trắc đạc</t>
        </is>
      </c>
      <c r="G12" s="4"/>
      <c r="H12" s="4"/>
      <c r="I12" s="6">
        <v>1</v>
      </c>
    </row>
    <row r="13">
      <c r="B13" s="4"/>
      <c r="C13" s="4"/>
      <c r="D13" s="4"/>
      <c r="E13" s="4"/>
      <c r="F13" s="4" t="inlineStr">
        <is>
          <t>Máy laser</t>
        </is>
      </c>
      <c r="G13" s="4"/>
      <c r="H13" s="4"/>
      <c r="I13" s="6">
        <v>1</v>
      </c>
    </row>
    <row r="15">
      <c r="B15" s="1" t="inlineStr">
        <is>
          <t>III. Nội dung công việc thực hiện trong ngày :</t>
        </is>
      </c>
    </row>
    <row r="16">
      <c r="B16" s="18" t="inlineStr">
        <is>
          <t>1. Vật tư, vật liệu ra vào công trường:</t>
        </is>
      </c>
    </row>
  </sheetData>
  <mergeCells count="18">
    <mergeCell ref="B1:I1"/>
    <mergeCell ref="F2:I2"/>
    <mergeCell ref="B6:D6"/>
    <mergeCell ref="F6:H6"/>
    <mergeCell ref="B7:D7"/>
    <mergeCell ref="B8:D8"/>
    <mergeCell ref="B9:D9"/>
    <mergeCell ref="B10:D10"/>
    <mergeCell ref="B11:D11"/>
    <mergeCell ref="B12:D12"/>
    <mergeCell ref="B13:D13"/>
    <mergeCell ref="F7:H7"/>
    <mergeCell ref="F8:H8"/>
    <mergeCell ref="F9:H9"/>
    <mergeCell ref="F10:H10"/>
    <mergeCell ref="F11:H11"/>
    <mergeCell ref="F12:H12"/>
    <mergeCell ref="F13:H13"/>
  </mergeCells>
  <hyperlinks>
    <hyperlink ref="K1" location="'Mục lục'!A44" display="← Mục lục"/>
  </hyperlink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D3"/>
  <sheetViews>
    <sheetView workbookViewId="0"/>
  </sheetViews>
  <sheetFormatPr defaultRowHeight="15"/>
  <cols>
    <col min="1" max="1" width="16.00" customWidth="1"/>
    <col min="2" max="2" width="40.00" customWidth="1"/>
    <col min="4" max="4" width="12.00" customWidth="1"/>
  </cols>
  <sheetData>
    <row r="1">
      <c r="D1" s="105" t="inlineStr">
        <is>
          <t>← Mục lục</t>
        </is>
      </c>
    </row>
    <row r="3">
      <c r="A3" s="1" t="inlineStr">
        <is>
          <t>Dòng ngày tháng</t>
        </is>
      </c>
      <c r="B3" s="18" t="inlineStr">
        <is>
          <t>Tỉnh/TP, ngày 05 tháng 11 năm 2026</t>
        </is>
      </c>
    </row>
  </sheetData>
  <hyperlinks>
    <hyperlink ref="D1" location="'Mục lục'!A44" display="← Mục lục"/>
  </hyperlink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F8"/>
  <sheetViews>
    <sheetView workbookViewId="0">
      <selection activeCell="B4" sqref="B4:B8"/>
    </sheetView>
  </sheetViews>
  <sheetFormatPr defaultRowHeight="15"/>
  <cols>
    <col min="1" max="1" width="5.00" customWidth="1"/>
    <col min="2" max="2" width="30.00" customWidth="1"/>
    <col min="3" max="3" width="7.00" customWidth="1"/>
    <col min="4" max="4" width="11.00" customWidth="1"/>
    <col min="6" max="6" width="12.00" customWidth="1"/>
  </cols>
  <sheetData>
    <row r="1">
      <c r="A1" s="1" t="inlineStr">
        <is>
          <t>BẢNG KHỐI LƯỢNG VẬT TƯ PHẦN MÓNG</t>
        </is>
      </c>
      <c r="F1" s="105" t="inlineStr">
        <is>
          <t>← Mục lục</t>
        </is>
      </c>
    </row>
    <row r="3">
      <c r="A3" s="3" t="inlineStr">
        <is>
          <t>TT</t>
        </is>
      </c>
      <c r="B3" s="3" t="inlineStr">
        <is>
          <t>Tên vật tư</t>
        </is>
      </c>
      <c r="C3" s="3" t="inlineStr">
        <is>
          <t>ĐVT</t>
        </is>
      </c>
      <c r="D3" s="3" t="inlineStr">
        <is>
          <t>Khối lượng</t>
        </is>
      </c>
    </row>
    <row r="4">
      <c r="A4" s="6">
        <v>1</v>
      </c>
      <c r="B4" s="4" t="inlineStr">
        <is>
          <t>Bê tông thương phẩm M300</t>
        </is>
      </c>
      <c r="C4" s="6" t="inlineStr">
        <is>
          <t>m³</t>
        </is>
      </c>
      <c r="D4" s="32">
        <v>286.5</v>
      </c>
    </row>
    <row r="5">
      <c r="A5" s="6">
        <v>2</v>
      </c>
      <c r="B5" s="4" t="inlineStr">
        <is>
          <t>Thép CB400-V</t>
        </is>
      </c>
      <c r="C5" s="6" t="inlineStr">
        <is>
          <t>tấn</t>
        </is>
      </c>
      <c r="D5" s="32">
        <v>34.2</v>
      </c>
    </row>
    <row r="6">
      <c r="A6" s="6">
        <v>3</v>
      </c>
      <c r="B6" s="4" t="inlineStr">
        <is>
          <t>Xi măng PCB40</t>
        </is>
      </c>
      <c r="C6" s="6" t="inlineStr">
        <is>
          <t>tấn</t>
        </is>
      </c>
      <c r="D6" s="32">
        <v>18</v>
      </c>
    </row>
    <row r="7">
      <c r="A7" s="6">
        <v>4</v>
      </c>
      <c r="B7" s="4" t="inlineStr">
        <is>
          <t>Cát vàng xây trát</t>
        </is>
      </c>
      <c r="C7" s="6" t="inlineStr">
        <is>
          <t>m³</t>
        </is>
      </c>
      <c r="D7" s="32">
        <v>42</v>
      </c>
    </row>
    <row r="8">
      <c r="A8" s="6">
        <v>5</v>
      </c>
      <c r="B8" s="4" t="inlineStr">
        <is>
          <t>Gạch rỗng 2 lỗ tuynel</t>
        </is>
      </c>
      <c r="C8" s="6" t="inlineStr">
        <is>
          <t>viên</t>
        </is>
      </c>
      <c r="D8" s="33">
        <v>12500</v>
      </c>
    </row>
  </sheetData>
  <hyperlinks>
    <hyperlink ref="F1" location="'Mục lục'!A45" display="← Mục lục"/>
  </hyperlink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G9"/>
  <sheetViews>
    <sheetView workbookViewId="0">
      <selection activeCell="B4" sqref="B4"/>
    </sheetView>
  </sheetViews>
  <sheetFormatPr defaultRowHeight="15"/>
  <cols>
    <col min="1" max="1" width="8.00" customWidth="1"/>
    <col min="2" max="2" width="34.00" customWidth="1"/>
    <col min="3" max="3" width="11.00" customWidth="1"/>
    <col min="4" max="4" width="11.00" customWidth="1"/>
    <col min="5" max="5" width="10.00" customWidth="1"/>
    <col min="7" max="7" width="12.00" customWidth="1"/>
  </cols>
  <sheetData>
    <row r="1">
      <c r="A1" s="1" t="inlineStr">
        <is>
          <t>TIẾN ĐỘ THI CÔNG PHẦN MÓNG – NHÀ VĂN PHÒNG 9 TẦNG</t>
        </is>
      </c>
      <c r="G1" s="105" t="inlineStr">
        <is>
          <t>← Mục lục</t>
        </is>
      </c>
    </row>
    <row r="3">
      <c r="A3" s="3" t="inlineStr">
        <is>
          <t>Mã CV</t>
        </is>
      </c>
      <c r="B3" s="3" t="inlineStr">
        <is>
          <t>Tên công việc</t>
        </is>
      </c>
      <c r="C3" s="3" t="inlineStr">
        <is>
          <t>Bắt đầu</t>
        </is>
      </c>
      <c r="D3" s="3" t="inlineStr">
        <is>
          <t>Kết thúc</t>
        </is>
      </c>
      <c r="E3" s="3" t="inlineStr">
        <is>
          <t>Số ngày</t>
        </is>
      </c>
    </row>
    <row r="4">
      <c r="A4" s="6" t="inlineStr">
        <is>
          <t>1.1</t>
        </is>
      </c>
      <c r="B4" s="4" t="inlineStr">
        <is>
          <t>Đào đất hố móng</t>
        </is>
      </c>
      <c r="C4" s="12">
        <v>46300</v>
      </c>
      <c r="D4" s="12">
        <v>46304</v>
      </c>
      <c r="E4" s="4">
        <v>5</v>
      </c>
    </row>
    <row r="5">
      <c r="A5" s="6" t="inlineStr">
        <is>
          <t>1.2</t>
        </is>
      </c>
      <c r="B5" s="4" t="inlineStr">
        <is>
          <t>Bê tông lót móng M1–M6</t>
        </is>
      </c>
      <c r="C5" s="12">
        <v>46305</v>
      </c>
      <c r="D5" s="12">
        <v>46306</v>
      </c>
      <c r="E5" s="4">
        <v>2</v>
      </c>
    </row>
    <row r="6">
      <c r="A6" s="6" t="inlineStr">
        <is>
          <t>1.3</t>
        </is>
      </c>
      <c r="B6" s="4" t="inlineStr">
        <is>
          <t>Lắp dựng cốt thép móng M1–M6</t>
        </is>
      </c>
      <c r="C6" s="12">
        <v>46307</v>
      </c>
      <c r="D6" s="12">
        <v>46310</v>
      </c>
      <c r="E6" s="4">
        <v>4</v>
      </c>
    </row>
    <row r="7">
      <c r="A7" s="6" t="inlineStr">
        <is>
          <t>1.4</t>
        </is>
      </c>
      <c r="B7" s="4" t="inlineStr">
        <is>
          <t>Lắp dựng ván khuôn móng M1–M6</t>
        </is>
      </c>
      <c r="C7" s="12">
        <v>46309</v>
      </c>
      <c r="D7" s="12">
        <v>46311</v>
      </c>
      <c r="E7" s="4">
        <v>3</v>
      </c>
    </row>
    <row r="8">
      <c r="A8" s="6" t="inlineStr">
        <is>
          <t>1.5</t>
        </is>
      </c>
      <c r="B8" s="4" t="inlineStr">
        <is>
          <t>Đổ bê tông móng M1–M6</t>
        </is>
      </c>
      <c r="C8" s="12">
        <v>46312</v>
      </c>
      <c r="D8" s="12">
        <v>46312</v>
      </c>
      <c r="E8" s="4">
        <v>1</v>
      </c>
    </row>
    <row r="9">
      <c r="A9" s="6" t="inlineStr">
        <is>
          <t>1.6</t>
        </is>
      </c>
      <c r="B9" s="4" t="inlineStr">
        <is>
          <t>Lấp đất hố móng</t>
        </is>
      </c>
      <c r="C9" s="12">
        <v>46315</v>
      </c>
      <c r="D9" s="12">
        <v>46317</v>
      </c>
      <c r="E9" s="4">
        <v>3</v>
      </c>
    </row>
  </sheetData>
  <hyperlinks>
    <hyperlink ref="G1" location="'Mục lục'!A46" display="← Mục lục"/>
  </hyperlink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L9"/>
  <sheetViews>
    <sheetView workbookViewId="0">
      <selection activeCell="A6" sqref="A6:J7"/>
    </sheetView>
  </sheetViews>
  <sheetFormatPr defaultRowHeight="15"/>
  <cols>
    <col min="1" max="1" width="3.50" customWidth="1"/>
    <col min="2" max="2" width="5.00" customWidth="1"/>
    <col min="3" max="3" width="20.00" customWidth="1"/>
    <col min="4" max="4" width="9.00" customWidth="1"/>
    <col min="5" max="5" width="16.00" customWidth="1"/>
    <col min="6" max="6" width="10.00" customWidth="1"/>
    <col min="7" max="7" width="10.00" customWidth="1"/>
    <col min="8" max="8" width="9.00" customWidth="1"/>
    <col min="9" max="9" width="11.00" customWidth="1"/>
    <col min="10" max="10" width="21.00" customWidth="1"/>
    <col min="12" max="12" width="12.00" customWidth="1"/>
  </cols>
  <sheetData>
    <row r="1" ht="19.50" customHeight="1">
      <c r="A1" s="1" t="inlineStr">
        <is>
          <t>KẾ HOẠCH NGHIỆM THU CÔNG VIỆC XÂY DỰNG</t>
        </is>
      </c>
      <c r="L1" s="105" t="inlineStr">
        <is>
          <t>← Mục lục</t>
        </is>
      </c>
    </row>
    <row r="2">
      <c r="A2" s="18" t="inlineStr">
        <is>
          <t>Công trình: Nhà văn phòng 9 tầng – Gói thầu XL-02          Lập ngày: 08/10/2026          Nguồn: tiến độ 'Tiến độ'</t>
        </is>
      </c>
    </row>
    <row r="3" ht="54.00" customHeight="1">
      <c r="A3" s="34" t="inlineStr">
        <is>
          <t>STT</t>
        </is>
      </c>
      <c r="B3" s="34" t="inlineStr">
        <is>
          <t>Mã CV</t>
        </is>
      </c>
      <c r="C3" s="34" t="inlineStr">
        <is>
          <t>Công việc / Hạng mục nghiệm thu</t>
        </is>
      </c>
      <c r="D3" s="34" t="inlineStr">
        <is>
          <t>Loại nghiệm thu</t>
        </is>
      </c>
      <c r="E3" s="34" t="inlineStr">
        <is>
          <t>Tiêu chuẩn áp dụng</t>
        </is>
      </c>
      <c r="F3" s="34" t="inlineStr">
        <is>
          <t>Ngày bắt đầu</t>
        </is>
      </c>
      <c r="G3" s="34" t="inlineStr">
        <is>
          <t>Ngày dự kiến NT</t>
        </is>
      </c>
      <c r="H3" s="34" t="inlineStr">
        <is>
          <t>Thành phần nghiệm thu</t>
        </is>
      </c>
      <c r="I3" s="34" t="inlineStr">
        <is>
          <t>Trạng thái</t>
        </is>
      </c>
      <c r="J3" s="34" t="inlineStr">
        <is>
          <t>Ghi chú</t>
        </is>
      </c>
    </row>
    <row r="4">
      <c r="A4" s="4">
        <v>1</v>
      </c>
      <c r="B4" s="4" t="inlineStr">
        <is>
          <t>1.1</t>
        </is>
      </c>
      <c r="C4" s="4" t="inlineStr">
        <is>
          <t>Đào đất hố móng</t>
        </is>
      </c>
      <c r="D4" s="4" t="inlineStr">
        <is>
          <t>Công việc xây dựng</t>
        </is>
      </c>
      <c r="E4" s="4" t="inlineStr">
        <is>
          <t>TCVN 4447:2012</t>
        </is>
      </c>
      <c r="F4" s="12">
        <v>46300</v>
      </c>
      <c r="G4" s="12">
        <v>46304</v>
      </c>
      <c r="H4" s="4" t="inlineStr">
        <is>
          <t>Giám sát của CĐT/TVGS; Cán bộ kỹ thuật Nhà thầu</t>
        </is>
      </c>
      <c r="I4" s="35" t="inlineStr">
        <is>
          <t>Chờ nghiệm thu</t>
        </is>
      </c>
      <c r="J4" s="4"/>
    </row>
    <row r="5">
      <c r="A5" s="4">
        <v>2</v>
      </c>
      <c r="B5" s="4" t="inlineStr">
        <is>
          <t>1.2</t>
        </is>
      </c>
      <c r="C5" s="4" t="inlineStr">
        <is>
          <t>Bê tông lót móng M1–M6</t>
        </is>
      </c>
      <c r="D5" s="4" t="inlineStr">
        <is>
          <t>Công việc xây dựng</t>
        </is>
      </c>
      <c r="E5" s="4" t="inlineStr">
        <is>
          <t>TCVN 4453:1995</t>
        </is>
      </c>
      <c r="F5" s="12">
        <v>46305</v>
      </c>
      <c r="G5" s="12">
        <v>46306</v>
      </c>
      <c r="H5" s="4" t="inlineStr">
        <is>
          <t>Giám sát của CĐT/TVGS; Cán bộ kỹ thuật Nhà thầu</t>
        </is>
      </c>
      <c r="I5" s="35" t="inlineStr">
        <is>
          <t>Chờ nghiệm thu</t>
        </is>
      </c>
      <c r="J5" s="4"/>
    </row>
    <row r="6">
      <c r="A6" s="4">
        <v>3</v>
      </c>
      <c r="B6" s="4" t="inlineStr">
        <is>
          <t>1.3</t>
        </is>
      </c>
      <c r="C6" s="4" t="inlineStr">
        <is>
          <t>Lắp dựng cốt thép móng M1–M6</t>
        </is>
      </c>
      <c r="D6" s="4" t="inlineStr">
        <is>
          <t>Công việc xây dựng</t>
        </is>
      </c>
      <c r="E6" s="4" t="inlineStr">
        <is>
          <t>TCVN 4453:1995; TCVN 1651-2:2018</t>
        </is>
      </c>
      <c r="F6" s="12">
        <v>46307</v>
      </c>
      <c r="G6" s="12">
        <v>46310</v>
      </c>
      <c r="H6" s="4" t="inlineStr">
        <is>
          <t>Giám sát của CĐT/TVGS; Cán bộ kỹ thuật Nhà thầu</t>
        </is>
      </c>
      <c r="I6" s="35" t="inlineStr">
        <is>
          <t>Chờ nghiệm thu</t>
        </is>
      </c>
      <c r="J6" s="4"/>
    </row>
    <row r="7">
      <c r="A7" s="4">
        <v>4</v>
      </c>
      <c r="B7" s="4" t="inlineStr">
        <is>
          <t>1.4</t>
        </is>
      </c>
      <c r="C7" s="4" t="inlineStr">
        <is>
          <t>Lắp dựng ván khuôn móng M1–M6</t>
        </is>
      </c>
      <c r="D7" s="4" t="inlineStr">
        <is>
          <t>Công việc xây dựng</t>
        </is>
      </c>
      <c r="E7" s="4" t="inlineStr">
        <is>
          <t>TCVN 4453:1995</t>
        </is>
      </c>
      <c r="F7" s="12">
        <v>46309</v>
      </c>
      <c r="G7" s="12">
        <v>46311</v>
      </c>
      <c r="H7" s="4" t="inlineStr">
        <is>
          <t>Giám sát của CĐT/TVGS; Cán bộ kỹ thuật Nhà thầu</t>
        </is>
      </c>
      <c r="I7" s="35" t="inlineStr">
        <is>
          <t>Chờ nghiệm thu</t>
        </is>
      </c>
      <c r="J7" s="4"/>
    </row>
    <row r="8">
      <c r="A8" s="4">
        <v>5</v>
      </c>
      <c r="B8" s="4" t="inlineStr">
        <is>
          <t>1.5</t>
        </is>
      </c>
      <c r="C8" s="4" t="inlineStr">
        <is>
          <t>Đổ bê tông móng M1–M6</t>
        </is>
      </c>
      <c r="D8" s="4" t="inlineStr">
        <is>
          <t>Công việc xây dựng</t>
        </is>
      </c>
      <c r="E8" s="4" t="inlineStr">
        <is>
          <t>TCVN 4453:1995</t>
        </is>
      </c>
      <c r="F8" s="12">
        <v>46312</v>
      </c>
      <c r="G8" s="12">
        <v>46312</v>
      </c>
      <c r="H8" s="4" t="inlineStr">
        <is>
          <t>Giám sát của CĐT/TVGS; Cán bộ kỹ thuật Nhà thầu</t>
        </is>
      </c>
      <c r="I8" s="35" t="inlineStr">
        <is>
          <t>Chờ nghiệm thu</t>
        </is>
      </c>
      <c r="J8" s="4"/>
    </row>
    <row r="9">
      <c r="A9" s="4">
        <v>6</v>
      </c>
      <c r="B9" s="4" t="inlineStr">
        <is>
          <t>1.6</t>
        </is>
      </c>
      <c r="C9" s="4" t="inlineStr">
        <is>
          <t>Lấp đất hố móng</t>
        </is>
      </c>
      <c r="D9" s="4" t="inlineStr">
        <is>
          <t>Công việc xây dựng</t>
        </is>
      </c>
      <c r="E9" s="4" t="inlineStr">
        <is>
          <t>TCVN 4447:2012</t>
        </is>
      </c>
      <c r="F9" s="12">
        <v>46315</v>
      </c>
      <c r="G9" s="12">
        <v>46317</v>
      </c>
      <c r="H9" s="4" t="inlineStr">
        <is>
          <t>Giám sát của CĐT/TVGS; Cán bộ kỹ thuật Nhà thầu</t>
        </is>
      </c>
      <c r="I9" s="35" t="inlineStr">
        <is>
          <t>Chờ nghiệm thu</t>
        </is>
      </c>
      <c r="J9" s="4"/>
    </row>
  </sheetData>
  <mergeCells count="2">
    <mergeCell ref="A1:J1"/>
    <mergeCell ref="A2:J2"/>
  </mergeCells>
  <hyperlinks>
    <hyperlink ref="L1" location="'Mục lục'!A47" display="← Mục lục"/>
  </hyperlink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I8"/>
  <sheetViews>
    <sheetView workbookViewId="0">
      <selection activeCell="B4" sqref="B4:D8"/>
    </sheetView>
  </sheetViews>
  <sheetFormatPr defaultRowHeight="15"/>
  <cols>
    <col min="1" max="1" width="4.00" customWidth="1"/>
    <col min="2" max="2" width="30.00" customWidth="1"/>
    <col min="3" max="3" width="6.00" customWidth="1"/>
    <col min="4" max="4" width="9.00" customWidth="1"/>
    <col min="5" max="5" width="12.00" customWidth="1"/>
    <col min="6" max="6" width="26.00" customWidth="1"/>
    <col min="7" max="7" width="30.00" customWidth="1"/>
    <col min="9" max="9" width="12.00" customWidth="1"/>
  </cols>
  <sheetData>
    <row r="1">
      <c r="A1" s="1" t="inlineStr">
        <is>
          <t>BẢNG KHỐI LƯỢNG PHẦN MÓNG — NHÀ VĂN PHÒNG 9 TẦNG</t>
        </is>
      </c>
      <c r="I1" s="105" t="inlineStr">
        <is>
          <t>← Mục lục</t>
        </is>
      </c>
    </row>
    <row r="3">
      <c r="A3" s="3" t="inlineStr">
        <is>
          <t>TT</t>
        </is>
      </c>
      <c r="B3" s="3" t="inlineStr">
        <is>
          <t>Tên hạng mục</t>
        </is>
      </c>
      <c r="C3" s="3" t="inlineStr">
        <is>
          <t>ĐVT</t>
        </is>
      </c>
      <c r="D3" s="3" t="inlineStr">
        <is>
          <t>Khối lượng</t>
        </is>
      </c>
      <c r="E3" s="3" t="inlineStr">
        <is>
          <t>Đơn giá</t>
        </is>
      </c>
      <c r="F3" s="3" t="inlineStr">
        <is>
          <t>Nguồn giá</t>
        </is>
      </c>
      <c r="G3" s="3" t="inlineStr">
        <is>
          <t>Ghi chú</t>
        </is>
      </c>
    </row>
    <row r="4">
      <c r="A4" s="6">
        <v>1</v>
      </c>
      <c r="B4" s="4" t="inlineStr">
        <is>
          <t>Bê tông lót móng M100 đá 4x6</t>
        </is>
      </c>
      <c r="C4" s="6" t="inlineStr">
        <is>
          <t>m3</t>
        </is>
      </c>
      <c r="D4" s="36">
        <v>18.6</v>
      </c>
      <c r="E4" s="4"/>
      <c r="F4" s="4"/>
      <c r="G4" s="4"/>
    </row>
    <row r="5">
      <c r="A5" s="6">
        <v>2</v>
      </c>
      <c r="B5" s="4" t="inlineStr">
        <is>
          <t>Bê tông móng M250 đá 1x2</t>
        </is>
      </c>
      <c r="C5" s="6" t="inlineStr">
        <is>
          <t>m3</t>
        </is>
      </c>
      <c r="D5" s="36">
        <v>142.5</v>
      </c>
      <c r="E5" s="4"/>
      <c r="F5" s="4"/>
      <c r="G5" s="4"/>
    </row>
    <row r="6">
      <c r="A6" s="6">
        <v>3</v>
      </c>
      <c r="B6" s="4" t="inlineStr">
        <is>
          <t>Ván khuôn móng</t>
        </is>
      </c>
      <c r="C6" s="6" t="inlineStr">
        <is>
          <t>m2</t>
        </is>
      </c>
      <c r="D6" s="36">
        <v>236</v>
      </c>
      <c r="E6" s="4"/>
      <c r="F6" s="4"/>
      <c r="G6" s="4"/>
    </row>
    <row r="7">
      <c r="A7" s="6">
        <v>4</v>
      </c>
      <c r="B7" s="4" t="inlineStr">
        <is>
          <t>Cốt thép móng D≤10</t>
        </is>
      </c>
      <c r="C7" s="6" t="inlineStr">
        <is>
          <t>kg</t>
        </is>
      </c>
      <c r="D7" s="15">
        <v>2850</v>
      </c>
      <c r="E7" s="4"/>
      <c r="F7" s="4"/>
      <c r="G7" s="4"/>
    </row>
    <row r="8">
      <c r="A8" s="6">
        <v>5</v>
      </c>
      <c r="B8" s="4" t="inlineStr">
        <is>
          <t>Xi măng PCB40</t>
        </is>
      </c>
      <c r="C8" s="6" t="inlineStr">
        <is>
          <t>tấn</t>
        </is>
      </c>
      <c r="D8" s="36">
        <v>12.5</v>
      </c>
      <c r="E8" s="4"/>
      <c r="F8" s="4"/>
      <c r="G8" s="4"/>
    </row>
  </sheetData>
  <hyperlinks>
    <hyperlink ref="I1" location="'Mục lục'!A51" display="← Mục lục"/>
  </hyperlink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J7"/>
  <sheetViews>
    <sheetView workbookViewId="0">
      <selection activeCell="A3" sqref="A3:H7"/>
    </sheetView>
  </sheetViews>
  <sheetFormatPr defaultRowHeight="15"/>
  <cols>
    <col min="1" max="1" width="4.00" customWidth="1"/>
    <col min="2" max="2" width="30.00" customWidth="1"/>
    <col min="3" max="3" width="9.00" customWidth="1"/>
    <col min="4" max="4" width="5.00" customWidth="1"/>
    <col min="5" max="5" width="9.00" customWidth="1"/>
    <col min="6" max="6" width="11.00" customWidth="1"/>
    <col min="7" max="7" width="13.00" customWidth="1"/>
    <col min="8" max="8" width="9.00" customWidth="1"/>
    <col min="10" max="10" width="12.00" customWidth="1"/>
  </cols>
  <sheetData>
    <row r="1">
      <c r="A1" s="1" t="inlineStr">
        <is>
          <t>BẢNG KHỐI LƯỢNG HỢP ĐỒNG — NHÀ VĂN PHÒNG 9 TẦNG</t>
        </is>
      </c>
      <c r="J1" s="105" t="inlineStr">
        <is>
          <t>← Mục lục</t>
        </is>
      </c>
    </row>
    <row r="3" ht="27.00" customHeight="1">
      <c r="A3" s="3" t="inlineStr">
        <is>
          <t>STT</t>
        </is>
      </c>
      <c r="B3" s="3" t="inlineStr">
        <is>
          <t>Hạng mục</t>
        </is>
      </c>
      <c r="C3" s="3" t="inlineStr">
        <is>
          <t>Mã hiệu</t>
        </is>
      </c>
      <c r="D3" s="3" t="inlineStr">
        <is>
          <t>ĐVT</t>
        </is>
      </c>
      <c r="E3" s="2" t="inlineStr">
        <is>
          <t>KL hợp đồng</t>
        </is>
      </c>
      <c r="F3" s="3" t="inlineStr">
        <is>
          <t>Đơn giá</t>
        </is>
      </c>
      <c r="G3" s="3" t="inlineStr">
        <is>
          <t>Thành tiền</t>
        </is>
      </c>
      <c r="H3" s="2" t="inlineStr">
        <is>
          <t>% HT lũy kế</t>
        </is>
      </c>
    </row>
    <row r="4">
      <c r="A4" s="6">
        <v>1</v>
      </c>
      <c r="B4" s="4" t="inlineStr">
        <is>
          <t>Đào đất hố móng bằng máy</t>
        </is>
      </c>
      <c r="C4" s="6" t="inlineStr">
        <is>
          <t>AB.25113</t>
        </is>
      </c>
      <c r="D4" s="6" t="inlineStr">
        <is>
          <t>m3</t>
        </is>
      </c>
      <c r="E4" s="15">
        <v>1250</v>
      </c>
      <c r="F4" s="15">
        <v>85000</v>
      </c>
      <c r="G4" s="15">
        <v>106250000</v>
      </c>
      <c r="H4" s="13">
        <v>1</v>
      </c>
    </row>
    <row r="5">
      <c r="A5" s="6">
        <v>2</v>
      </c>
      <c r="B5" s="4" t="inlineStr">
        <is>
          <t>Bê tông móng M300</t>
        </is>
      </c>
      <c r="C5" s="6" t="inlineStr">
        <is>
          <t>AF.22230</t>
        </is>
      </c>
      <c r="D5" s="6" t="inlineStr">
        <is>
          <t>m3</t>
        </is>
      </c>
      <c r="E5" s="36">
        <v>286.5</v>
      </c>
      <c r="F5" s="15">
        <v>1850000</v>
      </c>
      <c r="G5" s="15">
        <v>530025000</v>
      </c>
      <c r="H5" s="13">
        <v>1</v>
      </c>
    </row>
    <row r="6">
      <c r="A6" s="6">
        <v>3</v>
      </c>
      <c r="B6" s="4" t="inlineStr">
        <is>
          <t>Cốt thép móng</t>
        </is>
      </c>
      <c r="C6" s="6" t="inlineStr">
        <is>
          <t>AF.61130</t>
        </is>
      </c>
      <c r="D6" s="6" t="inlineStr">
        <is>
          <t>tấn</t>
        </is>
      </c>
      <c r="E6" s="36">
        <v>34.2</v>
      </c>
      <c r="F6" s="15">
        <v>21500000</v>
      </c>
      <c r="G6" s="15">
        <v>735300000</v>
      </c>
      <c r="H6" s="13">
        <v>1</v>
      </c>
    </row>
    <row r="7">
      <c r="A7" s="6">
        <v>4</v>
      </c>
      <c r="B7" s="4" t="inlineStr">
        <is>
          <t>Bê tông cột tầng 1–3 M300</t>
        </is>
      </c>
      <c r="C7" s="6" t="inlineStr">
        <is>
          <t>AF.22250</t>
        </is>
      </c>
      <c r="D7" s="6" t="inlineStr">
        <is>
          <t>m3</t>
        </is>
      </c>
      <c r="E7" s="14">
        <v>96</v>
      </c>
      <c r="F7" s="15">
        <v>2050000</v>
      </c>
      <c r="G7" s="15">
        <v>196800000</v>
      </c>
      <c r="H7" s="13">
        <v>0.4</v>
      </c>
    </row>
  </sheetData>
  <hyperlinks>
    <hyperlink ref="J1" location="'Mục lục'!A52" display="← Mục lục"/>
  </hyperlink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H8"/>
  <sheetViews>
    <sheetView workbookViewId="0">
      <selection activeCell="B4" sqref="B4"/>
    </sheetView>
  </sheetViews>
  <sheetFormatPr defaultRowHeight="15"/>
  <cols>
    <col min="1" max="1" width="4.00" customWidth="1"/>
    <col min="2" max="2" width="10.00" customWidth="1"/>
    <col min="3" max="3" width="30.00" customWidth="1"/>
    <col min="4" max="4" width="5.00" customWidth="1"/>
    <col min="5" max="5" width="10.00" customWidth="1"/>
    <col min="6" max="6" width="11.00" customWidth="1"/>
    <col min="8" max="8" width="12.00" customWidth="1"/>
  </cols>
  <sheetData>
    <row r="1">
      <c r="A1" s="1" t="inlineStr">
        <is>
          <t>BẢNG KHỐI LƯỢNG PHẦN MÓNG — NGHIỆM THU</t>
        </is>
      </c>
      <c r="H1" s="105" t="inlineStr">
        <is>
          <t>← Mục lục</t>
        </is>
      </c>
    </row>
    <row r="3">
      <c r="A3" s="3" t="inlineStr">
        <is>
          <t>STT</t>
        </is>
      </c>
      <c r="B3" s="3" t="inlineStr">
        <is>
          <t>Mã hiệu</t>
        </is>
      </c>
      <c r="C3" s="3" t="inlineStr">
        <is>
          <t>Diễn giải</t>
        </is>
      </c>
      <c r="D3" s="3" t="inlineStr">
        <is>
          <t>ĐVT</t>
        </is>
      </c>
      <c r="E3" s="3" t="inlineStr">
        <is>
          <t>Khối lượng</t>
        </is>
      </c>
      <c r="F3" s="3" t="inlineStr">
        <is>
          <t>Đơn giá</t>
        </is>
      </c>
    </row>
    <row r="4">
      <c r="A4" s="6">
        <v>1</v>
      </c>
      <c r="B4" s="6" t="inlineStr">
        <is>
          <t>AB.25113</t>
        </is>
      </c>
      <c r="C4" s="4" t="inlineStr">
        <is>
          <t>Đào móng bằng máy, đất cấp III</t>
        </is>
      </c>
      <c r="D4" s="6" t="inlineStr">
        <is>
          <t>m3</t>
        </is>
      </c>
      <c r="E4" s="36">
        <v>1312.5</v>
      </c>
      <c r="F4" s="15">
        <v>85000</v>
      </c>
    </row>
    <row r="5">
      <c r="A5" s="6">
        <v>2</v>
      </c>
      <c r="B5" s="6" t="inlineStr">
        <is>
          <t>AF.11213</t>
        </is>
      </c>
      <c r="C5" s="4" t="inlineStr">
        <is>
          <t>Bê tông lót móng M100</t>
        </is>
      </c>
      <c r="D5" s="6" t="inlineStr">
        <is>
          <t>m3</t>
        </is>
      </c>
      <c r="E5" s="36">
        <v>18.6</v>
      </c>
      <c r="F5" s="15">
        <v>1320000</v>
      </c>
    </row>
    <row r="6">
      <c r="A6" s="6">
        <v>3</v>
      </c>
      <c r="B6" s="6" t="inlineStr">
        <is>
          <t>AF.22230</t>
        </is>
      </c>
      <c r="C6" s="4" t="inlineStr">
        <is>
          <t>Bê tông móng M300</t>
        </is>
      </c>
      <c r="D6" s="6" t="inlineStr">
        <is>
          <t>m3</t>
        </is>
      </c>
      <c r="E6" s="36">
        <v>279.8</v>
      </c>
      <c r="F6" s="15">
        <v>1850000</v>
      </c>
    </row>
    <row r="7">
      <c r="A7" s="6">
        <v>4</v>
      </c>
      <c r="B7" s="6" t="inlineStr">
        <is>
          <t>AF.61130</t>
        </is>
      </c>
      <c r="C7" s="4" t="inlineStr">
        <is>
          <t>Cốt thép móng ĐK ≤18 mm</t>
        </is>
      </c>
      <c r="D7" s="6" t="inlineStr">
        <is>
          <t>tấn</t>
        </is>
      </c>
      <c r="E7" s="37">
        <v>36.05</v>
      </c>
      <c r="F7" s="15">
        <v>21500000</v>
      </c>
    </row>
    <row r="8">
      <c r="A8" s="6">
        <v>5</v>
      </c>
      <c r="B8" s="6" t="inlineStr">
        <is>
          <t>AK.95121</t>
        </is>
      </c>
      <c r="C8" s="4" t="inlineStr">
        <is>
          <t>Quét chống thấm hố pít</t>
        </is>
      </c>
      <c r="D8" s="6" t="inlineStr">
        <is>
          <t>m2</t>
        </is>
      </c>
      <c r="E8" s="14">
        <v>48</v>
      </c>
      <c r="F8" s="15">
        <v>125000</v>
      </c>
    </row>
  </sheetData>
  <hyperlinks>
    <hyperlink ref="H1" location="'Mục lục'!A53" display="← Mục lục"/>
  </hyperlink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H7"/>
  <sheetViews>
    <sheetView workbookViewId="0">
      <selection activeCell="A3" sqref="A3:F7"/>
    </sheetView>
  </sheetViews>
  <sheetFormatPr defaultRowHeight="15"/>
  <cols>
    <col min="1" max="1" width="4.00" customWidth="1"/>
    <col min="2" max="2" width="26.00" customWidth="1"/>
    <col min="3" max="3" width="5.00" customWidth="1"/>
    <col min="4" max="4" width="10.00" customWidth="1"/>
    <col min="5" max="5" width="13.00" customWidth="1"/>
    <col min="6" max="6" width="15.00" customWidth="1"/>
    <col min="8" max="8" width="12.00" customWidth="1"/>
  </cols>
  <sheetData>
    <row r="1">
      <c r="A1" s="1" t="inlineStr">
        <is>
          <t>BẢNG VẬT LIỆU ĐƯỢC BÙ GIÁ — QUÝ 3/2026</t>
        </is>
      </c>
      <c r="H1" s="105" t="inlineStr">
        <is>
          <t>← Mục lục</t>
        </is>
      </c>
    </row>
    <row r="3" ht="28.50" customHeight="1">
      <c r="A3" s="3" t="inlineStr">
        <is>
          <t>STT</t>
        </is>
      </c>
      <c r="B3" s="3" t="inlineStr">
        <is>
          <t>Vật liệu</t>
        </is>
      </c>
      <c r="C3" s="3" t="inlineStr">
        <is>
          <t>ĐVT</t>
        </is>
      </c>
      <c r="D3" s="3" t="inlineStr">
        <is>
          <t>Khối lượng</t>
        </is>
      </c>
      <c r="E3" s="2" t="inlineStr">
        <is>
          <t>Đơn giá gốc (HĐ)</t>
        </is>
      </c>
      <c r="F3" s="2" t="inlineStr">
        <is>
          <t>Đơn giá mới (thời điểm ĐC)</t>
        </is>
      </c>
    </row>
    <row r="4">
      <c r="A4" s="6">
        <v>1</v>
      </c>
      <c r="B4" s="4" t="inlineStr">
        <is>
          <t>Thép CB300-V D10</t>
        </is>
      </c>
      <c r="C4" s="6" t="inlineStr">
        <is>
          <t>kg</t>
        </is>
      </c>
      <c r="D4" s="15">
        <v>18500</v>
      </c>
      <c r="E4" s="15">
        <v>15200</v>
      </c>
      <c r="F4" s="15">
        <v>16850</v>
      </c>
    </row>
    <row r="5">
      <c r="A5" s="6">
        <v>2</v>
      </c>
      <c r="B5" s="4" t="inlineStr">
        <is>
          <t>Thép CB400-V D16–D25</t>
        </is>
      </c>
      <c r="C5" s="6" t="inlineStr">
        <is>
          <t>kg</t>
        </is>
      </c>
      <c r="D5" s="15">
        <v>26400</v>
      </c>
      <c r="E5" s="15">
        <v>15050</v>
      </c>
      <c r="F5" s="15">
        <v>16400</v>
      </c>
    </row>
    <row r="6">
      <c r="A6" s="6">
        <v>3</v>
      </c>
      <c r="B6" s="4" t="inlineStr">
        <is>
          <t>Xi măng PCB40</t>
        </is>
      </c>
      <c r="C6" s="6" t="inlineStr">
        <is>
          <t>tấn</t>
        </is>
      </c>
      <c r="D6" s="14">
        <v>145</v>
      </c>
      <c r="E6" s="15">
        <v>1550000</v>
      </c>
      <c r="F6" s="15">
        <v>1680000</v>
      </c>
    </row>
    <row r="7">
      <c r="A7" s="6">
        <v>4</v>
      </c>
      <c r="B7" s="4" t="inlineStr">
        <is>
          <t>Cát vàng bê tông</t>
        </is>
      </c>
      <c r="C7" s="6" t="inlineStr">
        <is>
          <t>m3</t>
        </is>
      </c>
      <c r="D7" s="14">
        <v>210</v>
      </c>
      <c r="E7" s="15">
        <v>380000</v>
      </c>
      <c r="F7" s="15">
        <v>420000</v>
      </c>
    </row>
  </sheetData>
  <hyperlinks>
    <hyperlink ref="H1" location="'Mục lục'!A54" display="← Mục lục"/>
  </hyperlinks>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K11"/>
  <sheetViews>
    <sheetView workbookViewId="0">
      <selection activeCell="A1" sqref="A1"/>
    </sheetView>
  </sheetViews>
  <sheetFormatPr defaultRowHeight="15"/>
  <cols>
    <col min="1" max="1" width="4.00" customWidth="1"/>
    <col min="2" max="2" width="9.00" customWidth="1"/>
    <col min="3" max="3" width="37.00" customWidth="1"/>
    <col min="4" max="4" width="6.00" customWidth="1"/>
    <col min="5" max="5" width="8.00" customWidth="1"/>
    <col min="6" max="6" width="10.00" customWidth="1"/>
    <col min="7" max="7" width="10.00" customWidth="1"/>
    <col min="8" max="8" width="9.00" customWidth="1"/>
    <col min="9" max="9" width="12.00" customWidth="1"/>
    <col min="11" max="11" width="12.00" customWidth="1"/>
  </cols>
  <sheetData>
    <row r="1">
      <c r="A1" s="1" t="inlineStr">
        <is>
          <t>BẢNG DỰ TOÁN CHI TIẾT</t>
        </is>
      </c>
      <c r="K1" s="105" t="inlineStr">
        <is>
          <t>← Mục lục</t>
        </is>
      </c>
    </row>
    <row r="2">
      <c r="A2" s="18" t="inlineStr">
        <is>
          <t>Công trình: Nhà văn phòng 9 tầng</t>
        </is>
      </c>
    </row>
    <row r="3">
      <c r="A3" s="18" t="inlineStr">
        <is>
          <t>Hạng mục: Phần móng</t>
        </is>
      </c>
    </row>
    <row r="5" ht="28.50" customHeight="1">
      <c r="A5" s="38" t="inlineStr">
        <is>
          <t>STT</t>
        </is>
      </c>
      <c r="B5" s="38" t="inlineStr">
        <is>
          <t>Mã hiệu</t>
        </is>
      </c>
      <c r="C5" s="38" t="inlineStr">
        <is>
          <t>Nội dung công việc</t>
        </is>
      </c>
      <c r="D5" s="38" t="inlineStr">
        <is>
          <t>Đơn vị</t>
        </is>
      </c>
      <c r="E5" s="38" t="inlineStr">
        <is>
          <t>Khối lượng</t>
        </is>
      </c>
      <c r="F5" s="38" t="inlineStr">
        <is>
          <t>Đơn giá vật liệu</t>
        </is>
      </c>
      <c r="G5" s="38" t="inlineStr">
        <is>
          <t>Đơn giá nhân công</t>
        </is>
      </c>
      <c r="H5" s="38" t="inlineStr">
        <is>
          <t>Đơn giá máy</t>
        </is>
      </c>
      <c r="I5" s="38" t="inlineStr">
        <is>
          <t>Thành tiền</t>
        </is>
      </c>
    </row>
    <row r="6">
      <c r="A6" s="31" t="inlineStr">
        <is>
          <t>A</t>
        </is>
      </c>
      <c r="B6" s="4"/>
      <c r="C6" s="25" t="inlineStr">
        <is>
          <t>PHẦN MÓNG</t>
        </is>
      </c>
      <c r="D6" s="4"/>
      <c r="E6" s="4"/>
      <c r="F6" s="4"/>
      <c r="G6" s="4"/>
      <c r="H6" s="4"/>
      <c r="I6" s="4"/>
    </row>
    <row r="7">
      <c r="A7" s="6">
        <v>1</v>
      </c>
      <c r="B7" s="4" t="inlineStr">
        <is>
          <t>AB.25113</t>
        </is>
      </c>
      <c r="C7" s="4" t="inlineStr">
        <is>
          <t>Đào móng bằng máy đào ≤1,25 m3, đất cấp III</t>
        </is>
      </c>
      <c r="D7" s="6" t="inlineStr">
        <is>
          <t>m3</t>
        </is>
      </c>
      <c r="E7" s="15">
        <v>1250</v>
      </c>
      <c r="F7" s="14">
        <v>0</v>
      </c>
      <c r="G7" s="15">
        <v>9850</v>
      </c>
      <c r="H7" s="15">
        <v>22400</v>
      </c>
      <c r="I7" s="15">
        <v>40312500</v>
      </c>
    </row>
    <row r="8">
      <c r="A8" s="6">
        <v>2</v>
      </c>
      <c r="B8" s="4" t="inlineStr">
        <is>
          <t>AF.11213</t>
        </is>
      </c>
      <c r="C8" s="4" t="inlineStr">
        <is>
          <t>Bê tông lót móng đá 4x6 M100</t>
        </is>
      </c>
      <c r="D8" s="6" t="inlineStr">
        <is>
          <t>m3</t>
        </is>
      </c>
      <c r="E8" s="36">
        <v>18.6</v>
      </c>
      <c r="F8" s="15">
        <v>985000</v>
      </c>
      <c r="G8" s="15">
        <v>245000</v>
      </c>
      <c r="H8" s="15">
        <v>32000</v>
      </c>
      <c r="I8" s="15">
        <v>23473200</v>
      </c>
    </row>
    <row r="9">
      <c r="A9" s="6">
        <v>3</v>
      </c>
      <c r="B9" s="4" t="inlineStr">
        <is>
          <t>AF.22230</t>
        </is>
      </c>
      <c r="C9" s="4" t="inlineStr">
        <is>
          <t>Bê tông móng đá 1x2 M300</t>
        </is>
      </c>
      <c r="D9" s="6" t="inlineStr">
        <is>
          <t>m3</t>
        </is>
      </c>
      <c r="E9" s="36">
        <v>286.5</v>
      </c>
      <c r="F9" s="15">
        <v>1320000</v>
      </c>
      <c r="G9" s="15">
        <v>285000</v>
      </c>
      <c r="H9" s="15">
        <v>48000</v>
      </c>
      <c r="I9" s="15">
        <v>473584500</v>
      </c>
    </row>
    <row r="10">
      <c r="A10" s="6">
        <v>4</v>
      </c>
      <c r="B10" s="4" t="inlineStr">
        <is>
          <t>AF.61130</t>
        </is>
      </c>
      <c r="C10" s="4" t="inlineStr">
        <is>
          <t>Cốt thép móng ĐK ≤18 mm</t>
        </is>
      </c>
      <c r="D10" s="6" t="inlineStr">
        <is>
          <t>tấn</t>
        </is>
      </c>
      <c r="E10" s="36">
        <v>34.2</v>
      </c>
      <c r="F10" s="15">
        <v>16250000</v>
      </c>
      <c r="G10" s="15">
        <v>2950000</v>
      </c>
      <c r="H10" s="15">
        <v>410000</v>
      </c>
      <c r="I10" s="15">
        <v>670662000</v>
      </c>
    </row>
    <row r="11">
      <c r="A11" s="4"/>
      <c r="B11" s="4"/>
      <c r="C11" s="25" t="inlineStr">
        <is>
          <t>Cộng phần móng</t>
        </is>
      </c>
      <c r="D11" s="4"/>
      <c r="E11" s="4"/>
      <c r="F11" s="4"/>
      <c r="G11" s="4"/>
      <c r="H11" s="4"/>
      <c r="I11" s="39">
        <v>1208032200</v>
      </c>
    </row>
  </sheetData>
  <hyperlinks>
    <hyperlink ref="K1" location="'Mục lục'!A55" display="← Mục lục"/>
  </hyperlink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F6"/>
  <sheetViews>
    <sheetView workbookViewId="0">
      <selection activeCell="C5" sqref="C5"/>
    </sheetView>
  </sheetViews>
  <sheetFormatPr defaultRowHeight="15"/>
  <cols>
    <col min="1" max="1" width="32.00" customWidth="1"/>
    <col min="2" max="2" width="6.00" customWidth="1"/>
    <col min="3" max="3" width="12.00" customWidth="1"/>
    <col min="4" max="4" width="8.00" customWidth="1"/>
    <col min="6" max="6" width="12.00" customWidth="1"/>
  </cols>
  <sheetData>
    <row r="1">
      <c r="A1" s="1" t="inlineStr">
        <is>
          <t>TỔNG HỢP KHỐI LƯỢNG CHÍNH — NHÀ VĂN PHÒNG 9 TẦNG</t>
        </is>
      </c>
      <c r="F1" s="105" t="inlineStr">
        <is>
          <t>← Mục lục</t>
        </is>
      </c>
    </row>
    <row r="3">
      <c r="A3" s="3" t="inlineStr">
        <is>
          <t>Hạng mục</t>
        </is>
      </c>
      <c r="B3" s="3" t="inlineStr">
        <is>
          <t>ĐVT</t>
        </is>
      </c>
      <c r="C3" s="3" t="inlineStr">
        <is>
          <t>Khối lượng</t>
        </is>
      </c>
    </row>
    <row r="4">
      <c r="A4" s="4" t="inlineStr">
        <is>
          <t>Đào đất hố móng</t>
        </is>
      </c>
      <c r="B4" s="6" t="inlineStr">
        <is>
          <t>m3</t>
        </is>
      </c>
      <c r="C4" s="15">
        <v>1250</v>
      </c>
    </row>
    <row r="5">
      <c r="A5" s="4" t="inlineStr">
        <is>
          <t>Bê tông móng (các loại)</t>
        </is>
      </c>
      <c r="B5" s="6" t="inlineStr">
        <is>
          <t>m3</t>
        </is>
      </c>
      <c r="C5" s="4"/>
    </row>
    <row r="6">
      <c r="A6" s="4" t="inlineStr">
        <is>
          <t>Cốt thép móng</t>
        </is>
      </c>
      <c r="B6" s="6" t="inlineStr">
        <is>
          <t>tấn</t>
        </is>
      </c>
      <c r="C6" s="4"/>
    </row>
  </sheetData>
  <hyperlinks>
    <hyperlink ref="F1" location="'Mục lục'!A58" display="← Mục lục"/>
  </hyperlink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H7"/>
  <sheetViews>
    <sheetView workbookViewId="0">
      <selection activeCell="A3" sqref="A3:F7"/>
    </sheetView>
  </sheetViews>
  <sheetFormatPr defaultRowHeight="15"/>
  <cols>
    <col min="1" max="1" width="4.00" customWidth="1"/>
    <col min="2" max="2" width="34.00" customWidth="1"/>
    <col min="3" max="3" width="28.00" customWidth="1"/>
    <col min="4" max="4" width="5.00" customWidth="1"/>
    <col min="5" max="5" width="7.00" customWidth="1"/>
    <col min="6" max="6" width="11.00" customWidth="1"/>
    <col min="8" max="8" width="12.00" customWidth="1"/>
  </cols>
  <sheetData>
    <row r="1">
      <c r="A1" s="1" t="inlineStr">
        <is>
          <t>ĐO BÓC KHỐI LƯỢNG PHÁT SINH — SÂN VƯỜN, SÂN TRƯỚC</t>
        </is>
      </c>
      <c r="H1" s="105" t="inlineStr">
        <is>
          <t>← Mục lục</t>
        </is>
      </c>
    </row>
    <row r="3">
      <c r="A3" s="3" t="inlineStr">
        <is>
          <t>STT</t>
        </is>
      </c>
      <c r="B3" s="3" t="inlineStr">
        <is>
          <t>Nội dung phát sinh</t>
        </is>
      </c>
      <c r="C3" s="3" t="inlineStr">
        <is>
          <t>Căn cứ</t>
        </is>
      </c>
      <c r="D3" s="3" t="inlineStr">
        <is>
          <t>ĐVT</t>
        </is>
      </c>
      <c r="E3" s="3" t="inlineStr">
        <is>
          <t>KL</t>
        </is>
      </c>
      <c r="F3" s="3" t="inlineStr">
        <is>
          <t>Đơn giá</t>
        </is>
      </c>
    </row>
    <row r="4">
      <c r="A4" s="6">
        <v>1</v>
      </c>
      <c r="B4" s="4" t="inlineStr">
        <is>
          <t>Bê tông móng trụ đèn sân vườn M250</t>
        </is>
      </c>
      <c r="C4" s="4"/>
      <c r="D4" s="6" t="inlineStr">
        <is>
          <t>m3</t>
        </is>
      </c>
      <c r="E4" s="36">
        <v>8.5</v>
      </c>
      <c r="F4" s="15">
        <v>1900000</v>
      </c>
    </row>
    <row r="5">
      <c r="A5" s="6">
        <v>2</v>
      </c>
      <c r="B5" s="4" t="inlineStr">
        <is>
          <t>Cốt thép móng trụ đèn</t>
        </is>
      </c>
      <c r="C5" s="4"/>
      <c r="D5" s="6" t="inlineStr">
        <is>
          <t>kg</t>
        </is>
      </c>
      <c r="E5" s="14">
        <v>420</v>
      </c>
      <c r="F5" s="15">
        <v>21500</v>
      </c>
    </row>
    <row r="6">
      <c r="A6" s="6">
        <v>3</v>
      </c>
      <c r="B6" s="4" t="inlineStr">
        <is>
          <t>Sân bê tông cắt bỏ</t>
        </is>
      </c>
      <c r="C6" s="4" t="inlineStr">
        <is>
          <t>Thay đổi thiết kế BV KT-12 Rev02</t>
        </is>
      </c>
      <c r="D6" s="6" t="inlineStr">
        <is>
          <t>m2</t>
        </is>
      </c>
      <c r="E6" s="14">
        <v>-65</v>
      </c>
      <c r="F6" s="15">
        <v>320000</v>
      </c>
    </row>
    <row r="7">
      <c r="A7" s="6">
        <v>4</v>
      </c>
      <c r="B7" s="4" t="inlineStr">
        <is>
          <t>Lát đá granite sân trước</t>
        </is>
      </c>
      <c r="C7" s="4" t="inlineStr">
        <is>
          <t>Thay đổi thiết kế BV KT-12 Rev02</t>
        </is>
      </c>
      <c r="D7" s="6" t="inlineStr">
        <is>
          <t>m2</t>
        </is>
      </c>
      <c r="E7" s="14">
        <v>65</v>
      </c>
      <c r="F7" s="15">
        <v>680000</v>
      </c>
    </row>
  </sheetData>
  <hyperlinks>
    <hyperlink ref="H1" location="'Mục lục'!A59" display="← Mục lục"/>
  </hyperlink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I8"/>
  <sheetViews>
    <sheetView workbookViewId="0">
      <selection activeCell="A5" sqref="A5:G5"/>
    </sheetView>
  </sheetViews>
  <sheetFormatPr defaultRowHeight="15"/>
  <cols>
    <col min="1" max="1" width="5.00" customWidth="1"/>
    <col min="2" max="2" width="32.00" customWidth="1"/>
    <col min="3" max="3" width="7.00" customWidth="1"/>
    <col min="4" max="4" width="10.00" customWidth="1"/>
    <col min="5" max="5" width="12.00" customWidth="1"/>
    <col min="6" max="6" width="14.00" customWidth="1"/>
    <col min="7" max="7" width="10.00" customWidth="1"/>
    <col min="9" max="9" width="12.00" customWidth="1"/>
  </cols>
  <sheetData>
    <row r="1">
      <c r="A1" s="29" t="inlineStr">
        <is>
          <t>BẢNG TỔNG HỢP KHỐI LƯỢNG</t>
        </is>
      </c>
      <c r="I1" s="105" t="inlineStr">
        <is>
          <t>← Mục lục</t>
        </is>
      </c>
    </row>
    <row r="2">
      <c r="A2" s="18" t="inlineStr">
        <is>
          <t>Công trình: Nhà văn phòng 9 tầng</t>
        </is>
      </c>
    </row>
    <row r="3">
      <c r="A3" s="18" t="inlineStr">
        <is>
          <t>Hạng mục: Phần thân — cột tầng 1–3</t>
        </is>
      </c>
    </row>
    <row r="5" ht="22.50" customHeight="1">
      <c r="A5" s="40" t="inlineStr">
        <is>
          <t>STT</t>
        </is>
      </c>
      <c r="B5" s="40" t="inlineStr">
        <is>
          <t>Nội dung công việc</t>
        </is>
      </c>
      <c r="C5" s="40" t="inlineStr">
        <is>
          <t>ĐVT</t>
        </is>
      </c>
      <c r="D5" s="40" t="inlineStr">
        <is>
          <t>Khối lượng</t>
        </is>
      </c>
      <c r="E5" s="40" t="inlineStr">
        <is>
          <t>Đơn giá</t>
        </is>
      </c>
      <c r="F5" s="40" t="inlineStr">
        <is>
          <t>Thành tiền</t>
        </is>
      </c>
      <c r="G5" s="40" t="inlineStr">
        <is>
          <t>Ghi chú</t>
        </is>
      </c>
    </row>
    <row r="6">
      <c r="A6" s="6">
        <v>1</v>
      </c>
      <c r="B6" s="4" t="inlineStr">
        <is>
          <t>Bê tông cột M300, đá 1x2</t>
        </is>
      </c>
      <c r="C6" s="6" t="inlineStr">
        <is>
          <t>m³</t>
        </is>
      </c>
      <c r="D6" s="11">
        <v>86.4</v>
      </c>
      <c r="E6" s="33">
        <v>1850000</v>
      </c>
      <c r="F6" s="33">
        <v>159840000</v>
      </c>
      <c r="G6" s="4"/>
    </row>
    <row r="7">
      <c r="A7" s="6">
        <v>2</v>
      </c>
      <c r="B7" s="4" t="inlineStr">
        <is>
          <t>Cốt thép cột Ø≤18</t>
        </is>
      </c>
      <c r="C7" s="6" t="inlineStr">
        <is>
          <t>tấn</t>
        </is>
      </c>
      <c r="D7" s="11">
        <v>12.85</v>
      </c>
      <c r="E7" s="33">
        <v>21500000</v>
      </c>
      <c r="F7" s="33">
        <v>276275000</v>
      </c>
      <c r="G7" s="4"/>
    </row>
    <row r="8">
      <c r="A8" s="6">
        <v>3</v>
      </c>
      <c r="B8" s="4" t="inlineStr">
        <is>
          <t>Ván khuôn cột</t>
        </is>
      </c>
      <c r="C8" s="6" t="inlineStr">
        <is>
          <t>100m²</t>
        </is>
      </c>
      <c r="D8" s="11">
        <v>7.2</v>
      </c>
      <c r="E8" s="33">
        <v>9800000</v>
      </c>
      <c r="F8" s="33">
        <v>70560000</v>
      </c>
      <c r="G8" s="4"/>
    </row>
  </sheetData>
  <mergeCells count="1">
    <mergeCell ref="A1:G1"/>
  </mergeCells>
  <hyperlinks>
    <hyperlink ref="I1" location="'Mục lục'!A62" display="← Mục lục"/>
  </hyperlink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11"/>
  <sheetViews>
    <sheetView workbookViewId="0">
      <selection activeCell="A4" sqref="A4:A11"/>
    </sheetView>
  </sheetViews>
  <sheetFormatPr defaultRowHeight="15"/>
  <cols>
    <col min="1" max="1" width="6.00" customWidth="1"/>
    <col min="2" max="2" width="42.00" customWidth="1"/>
    <col min="3" max="3" width="7.00" customWidth="1"/>
    <col min="4" max="4" width="10.00" customWidth="1"/>
    <col min="6" max="6" width="12.00" customWidth="1"/>
  </cols>
  <sheetData>
    <row r="1">
      <c r="A1" s="29" t="inlineStr">
        <is>
          <t>BẢNG KHỐI LƯỢNG PHẦN MÓNG</t>
        </is>
      </c>
      <c r="F1" s="105" t="inlineStr">
        <is>
          <t>← Mục lục</t>
        </is>
      </c>
    </row>
    <row r="3">
      <c r="A3" s="3" t="inlineStr">
        <is>
          <t>STT</t>
        </is>
      </c>
      <c r="B3" s="3" t="inlineStr">
        <is>
          <t>Nội dung công việc</t>
        </is>
      </c>
      <c r="C3" s="3" t="inlineStr">
        <is>
          <t>ĐVT</t>
        </is>
      </c>
      <c r="D3" s="3" t="inlineStr">
        <is>
          <t>Khối lượng</t>
        </is>
      </c>
    </row>
    <row r="4">
      <c r="A4" s="4"/>
      <c r="B4" s="4" t="inlineStr">
        <is>
          <t>Đào đất hố móng bằng máy</t>
        </is>
      </c>
      <c r="C4" s="6" t="inlineStr">
        <is>
          <t>m³</t>
        </is>
      </c>
      <c r="D4" s="32">
        <v>412.6</v>
      </c>
    </row>
    <row r="5">
      <c r="A5" s="4"/>
      <c r="B5" s="4" t="inlineStr">
        <is>
          <t>Bê tông móng B22,5 (M300), gồm:</t>
        </is>
      </c>
      <c r="C5" s="6" t="inlineStr">
        <is>
          <t>m³</t>
        </is>
      </c>
      <c r="D5" s="32">
        <v>186.2</v>
      </c>
    </row>
    <row r="6">
      <c r="A6" s="4"/>
      <c r="B6" s="4" t="inlineStr">
        <is>
          <t xml:space="preserve">   - Móng M1 (12 cái)</t>
        </is>
      </c>
      <c r="C6" s="6" t="inlineStr">
        <is>
          <t>m³</t>
        </is>
      </c>
      <c r="D6" s="32">
        <v>112.8</v>
      </c>
    </row>
    <row r="7">
      <c r="A7" s="4"/>
      <c r="B7" s="4" t="inlineStr">
        <is>
          <t xml:space="preserve">   - Móng M2 (8 cái)</t>
        </is>
      </c>
      <c r="C7" s="6" t="inlineStr">
        <is>
          <t>m³</t>
        </is>
      </c>
      <c r="D7" s="32">
        <v>73.4</v>
      </c>
    </row>
    <row r="8">
      <c r="A8" s="4"/>
      <c r="B8" s="4" t="inlineStr">
        <is>
          <t>Cốt thép móng D≤18</t>
        </is>
      </c>
      <c r="C8" s="6" t="inlineStr">
        <is>
          <t>tấn</t>
        </is>
      </c>
      <c r="D8" s="32">
        <v>12.4</v>
      </c>
    </row>
    <row r="9" hidden="1">
      <c r="A9" s="4"/>
      <c r="B9" s="4"/>
      <c r="C9" s="4"/>
      <c r="D9" s="4"/>
    </row>
    <row r="10">
      <c r="A10" s="4"/>
      <c r="B10" s="4" t="inlineStr">
        <is>
          <t>Ván khuôn móng</t>
        </is>
      </c>
      <c r="C10" s="6" t="inlineStr">
        <is>
          <t>m²</t>
        </is>
      </c>
      <c r="D10" s="32">
        <v>284</v>
      </c>
    </row>
    <row r="11">
      <c r="A11" s="4"/>
      <c r="B11" s="4" t="inlineStr">
        <is>
          <t>Lấp đất hố móng</t>
        </is>
      </c>
      <c r="C11" s="6" t="inlineStr">
        <is>
          <t>m³</t>
        </is>
      </c>
      <c r="D11" s="32">
        <v>236.5</v>
      </c>
    </row>
  </sheetData>
  <mergeCells count="2">
    <mergeCell ref="A1:D1"/>
    <mergeCell ref="A5:A7"/>
  </mergeCells>
  <hyperlinks>
    <hyperlink ref="F1" location="'Mục lục'!A65" display="← Mục lục"/>
  </hyperlink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7.00" customWidth="1"/>
    <col min="2" max="2" width="36.00" customWidth="1"/>
    <col min="3" max="3" width="18.00" customWidth="1"/>
    <col min="5" max="5" width="12.00" customWidth="1"/>
  </cols>
  <sheetData>
    <row r="1">
      <c r="A1" s="29" t="inlineStr">
        <is>
          <t>BẢNG TỔNG HỢP KINH PHÍ XÂY DỰNG</t>
        </is>
      </c>
      <c r="E1" s="105" t="inlineStr">
        <is>
          <t>← Mục lục</t>
        </is>
      </c>
    </row>
    <row r="3">
      <c r="A3" s="3" t="inlineStr">
        <is>
          <t>STT</t>
        </is>
      </c>
      <c r="B3" s="3" t="inlineStr">
        <is>
          <t>Hạng mục</t>
        </is>
      </c>
      <c r="C3" s="3" t="inlineStr">
        <is>
          <t>Giá trị (đồng)</t>
        </is>
      </c>
    </row>
    <row r="4">
      <c r="A4" s="4"/>
      <c r="B4" s="4" t="inlineStr">
        <is>
          <t>Phần móng</t>
        </is>
      </c>
      <c r="C4" s="33">
        <v>4286500000</v>
      </c>
    </row>
    <row r="5">
      <c r="A5" s="4"/>
      <c r="B5" s="4" t="inlineStr">
        <is>
          <t>Phần thân</t>
        </is>
      </c>
      <c r="C5" s="33">
        <v>12940000000</v>
      </c>
    </row>
    <row r="6">
      <c r="A6" s="4"/>
      <c r="B6" s="4" t="inlineStr">
        <is>
          <t>Phần hoàn thiện</t>
        </is>
      </c>
      <c r="C6" s="33">
        <v>7318200000</v>
      </c>
    </row>
    <row r="7">
      <c r="A7" s="4"/>
      <c r="B7" s="4" t="inlineStr">
        <is>
          <t>Phần điện nước</t>
        </is>
      </c>
      <c r="C7" s="33">
        <v>3125600000</v>
      </c>
    </row>
  </sheetData>
  <mergeCells count="1">
    <mergeCell ref="A1:C1"/>
  </mergeCells>
  <hyperlinks>
    <hyperlink ref="E1" location="'Mục lục'!A66" display="← Mục lục"/>
  </hyperlink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E8"/>
  <sheetViews>
    <sheetView workbookViewId="0">
      <selection activeCell="A4" sqref="A4:A8"/>
    </sheetView>
  </sheetViews>
  <sheetFormatPr defaultRowHeight="15"/>
  <cols>
    <col min="1" max="1" width="9.00" customWidth="1"/>
    <col min="2" max="2" width="46.00" customWidth="1"/>
    <col min="3" max="3" width="10.00" customWidth="1"/>
    <col min="5" max="5" width="12.00" customWidth="1"/>
  </cols>
  <sheetData>
    <row r="1">
      <c r="A1" s="29" t="inlineStr">
        <is>
          <t>DANH MỤC PHỤ LỤC KÈM BIÊN BẢN NGHIỆM THU</t>
        </is>
      </c>
      <c r="E1" s="105" t="inlineStr">
        <is>
          <t>← Mục lục</t>
        </is>
      </c>
    </row>
    <row r="3">
      <c r="A3" s="3" t="inlineStr">
        <is>
          <t>Phụ lục</t>
        </is>
      </c>
      <c r="B3" s="3" t="inlineStr">
        <is>
          <t>Nội dung</t>
        </is>
      </c>
      <c r="C3" s="3" t="inlineStr">
        <is>
          <t>Số trang</t>
        </is>
      </c>
    </row>
    <row r="4">
      <c r="A4" s="4"/>
      <c r="B4" s="4" t="inlineStr">
        <is>
          <t>Bản vẽ hoàn công phần móng</t>
        </is>
      </c>
      <c r="C4" s="4">
        <v>12</v>
      </c>
    </row>
    <row r="5">
      <c r="A5" s="4"/>
      <c r="B5" s="4" t="inlineStr">
        <is>
          <t>Nhật ký thi công phần móng</t>
        </is>
      </c>
      <c r="C5" s="4">
        <v>26</v>
      </c>
    </row>
    <row r="6">
      <c r="A6" s="4"/>
      <c r="B6" s="4" t="inlineStr">
        <is>
          <t>Kết quả thí nghiệm nén mẫu bê tông</t>
        </is>
      </c>
      <c r="C6" s="4">
        <v>8</v>
      </c>
    </row>
    <row r="7">
      <c r="A7" s="4"/>
      <c r="B7" s="4" t="inlineStr">
        <is>
          <t>Kết quả thí nghiệm kéo, uốn thép</t>
        </is>
      </c>
      <c r="C7" s="4">
        <v>6</v>
      </c>
    </row>
    <row r="8">
      <c r="A8" s="4"/>
      <c r="B8" s="4" t="inlineStr">
        <is>
          <t>Chứng chỉ chất lượng vật liệu (CO/CQ)</t>
        </is>
      </c>
      <c r="C8" s="4">
        <v>34</v>
      </c>
    </row>
  </sheetData>
  <mergeCells count="2">
    <mergeCell ref="A1:C1"/>
    <mergeCell ref="A6:A7"/>
  </mergeCells>
  <hyperlinks>
    <hyperlink ref="E1" location="'Mục lục'!A67" display="← Mục lục"/>
  </hyperlink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7"/>
  <sheetViews>
    <sheetView workbookViewId="0">
      <selection activeCell="A4" sqref="A4:A7"/>
    </sheetView>
  </sheetViews>
  <sheetFormatPr defaultRowHeight="15"/>
  <cols>
    <col min="1" max="1" width="6.00" customWidth="1"/>
    <col min="2" max="2" width="40.00" customWidth="1"/>
    <col min="3" max="3" width="7.00" customWidth="1"/>
    <col min="4" max="4" width="10.00" customWidth="1"/>
    <col min="6" max="6" width="12.00" customWidth="1"/>
  </cols>
  <sheetData>
    <row r="1">
      <c r="A1" s="29" t="inlineStr">
        <is>
          <t>MỤC 2 — KẾT CẤU MẶT ĐƯỜNG NỘI BỘ</t>
        </is>
      </c>
      <c r="F1" s="105" t="inlineStr">
        <is>
          <t>← Mục lục</t>
        </is>
      </c>
    </row>
    <row r="3">
      <c r="A3" s="3" t="inlineStr">
        <is>
          <t>TT</t>
        </is>
      </c>
      <c r="B3" s="3" t="inlineStr">
        <is>
          <t>Lớp kết cấu</t>
        </is>
      </c>
      <c r="C3" s="3" t="inlineStr">
        <is>
          <t>ĐVT</t>
        </is>
      </c>
      <c r="D3" s="3" t="inlineStr">
        <is>
          <t>Khối lượng</t>
        </is>
      </c>
    </row>
    <row r="4">
      <c r="A4" s="4"/>
      <c r="B4" s="4" t="inlineStr">
        <is>
          <t>Bê tông nhựa hạt mịn dày 5 cm</t>
        </is>
      </c>
      <c r="C4" s="6" t="inlineStr">
        <is>
          <t>m²</t>
        </is>
      </c>
      <c r="D4" s="33">
        <v>1850</v>
      </c>
    </row>
    <row r="5">
      <c r="A5" s="4"/>
      <c r="B5" s="4" t="inlineStr">
        <is>
          <t>Bê tông nhựa hạt thô dày 7 cm</t>
        </is>
      </c>
      <c r="C5" s="6" t="inlineStr">
        <is>
          <t>m²</t>
        </is>
      </c>
      <c r="D5" s="33">
        <v>1850</v>
      </c>
    </row>
    <row r="6">
      <c r="A6" s="4"/>
      <c r="B6" s="4" t="inlineStr">
        <is>
          <t>Cấp phối đá dăm loại I dày 15 cm</t>
        </is>
      </c>
      <c r="C6" s="6" t="inlineStr">
        <is>
          <t>m²</t>
        </is>
      </c>
      <c r="D6" s="33">
        <v>1920</v>
      </c>
    </row>
    <row r="7">
      <c r="A7" s="4"/>
      <c r="B7" s="4" t="inlineStr">
        <is>
          <t>Cấp phối đá dăm loại II dày 30 cm</t>
        </is>
      </c>
      <c r="C7" s="6" t="inlineStr">
        <is>
          <t>m²</t>
        </is>
      </c>
      <c r="D7" s="33">
        <v>1980</v>
      </c>
    </row>
  </sheetData>
  <mergeCells count="1">
    <mergeCell ref="A1:D1"/>
  </mergeCells>
  <hyperlinks>
    <hyperlink ref="F1" location="'Mục lục'!A68" display="← Mục lục"/>
  </hyperlink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1"/>
  <sheetViews>
    <sheetView workbookViewId="0">
      <selection activeCell="A4" sqref="A4"/>
    </sheetView>
  </sheetViews>
  <sheetFormatPr defaultRowHeight="15"/>
  <cols>
    <col min="1" max="1" width="38.00" customWidth="1"/>
    <col min="2" max="2" width="9.00" customWidth="1"/>
    <col min="3" max="3" width="7.00" customWidth="1"/>
    <col min="4" max="4" width="3.00" customWidth="1"/>
    <col min="5" max="5" width="14.00" customWidth="1"/>
    <col min="7" max="7" width="12.00" customWidth="1"/>
  </cols>
  <sheetData>
    <row r="1">
      <c r="A1" s="29" t="inlineStr">
        <is>
          <t>DỰ TOÁN CHI TIẾT — NHÀ VĂN PHÒNG 9 TẦNG</t>
        </is>
      </c>
      <c r="G1" s="105" t="inlineStr">
        <is>
          <t>← Mục lục</t>
        </is>
      </c>
    </row>
    <row r="3">
      <c r="A3" s="40" t="inlineStr">
        <is>
          <t>Nội dung công việc</t>
        </is>
      </c>
      <c r="B3" s="40" t="inlineStr">
        <is>
          <t>KL (m³)</t>
        </is>
      </c>
      <c r="C3" s="40" t="inlineStr">
        <is>
          <t>Level</t>
        </is>
      </c>
      <c r="E3" s="40" t="inlineStr">
        <is>
          <t>Chú giải màu</t>
        </is>
      </c>
    </row>
    <row r="4">
      <c r="A4" s="44" t="inlineStr">
        <is>
          <t>Phần ngầm</t>
        </is>
      </c>
      <c r="B4" s="4"/>
      <c r="C4" s="4"/>
      <c r="E4" s="41" t="inlineStr">
        <is>
          <t>Cấp 1</t>
        </is>
      </c>
    </row>
    <row r="5">
      <c r="A5" s="45" t="inlineStr">
        <is>
          <t>Công tác đất</t>
        </is>
      </c>
      <c r="B5" s="4"/>
      <c r="C5" s="4"/>
      <c r="E5" s="42" t="inlineStr">
        <is>
          <t>Cấp 2</t>
        </is>
      </c>
    </row>
    <row r="6">
      <c r="A6" s="46" t="inlineStr">
        <is>
          <t>Đào móng bằng máy</t>
        </is>
      </c>
      <c r="B6" s="32">
        <v>412.6</v>
      </c>
      <c r="C6" s="4"/>
      <c r="E6" s="43" t="inlineStr">
        <is>
          <t>Cấp 3</t>
        </is>
      </c>
    </row>
    <row r="7">
      <c r="A7" s="46" t="inlineStr">
        <is>
          <t>Đào móng thủ công</t>
        </is>
      </c>
      <c r="B7" s="32">
        <v>45.8</v>
      </c>
      <c r="C7" s="4"/>
    </row>
    <row r="8">
      <c r="A8" s="45" t="inlineStr">
        <is>
          <t>Công tác bê tông móng</t>
        </is>
      </c>
      <c r="B8" s="4"/>
      <c r="C8" s="4"/>
    </row>
    <row r="9">
      <c r="A9" s="46" t="inlineStr">
        <is>
          <t>Bê tông lót móng B7,5 (M100)</t>
        </is>
      </c>
      <c r="B9" s="32">
        <v>18.4</v>
      </c>
      <c r="C9" s="4"/>
    </row>
    <row r="10">
      <c r="A10" s="46" t="inlineStr">
        <is>
          <t>Bê tông móng B22,5 (M300)</t>
        </is>
      </c>
      <c r="B10" s="32">
        <v>186.2</v>
      </c>
      <c r="C10" s="4"/>
    </row>
    <row r="11">
      <c r="A11" s="44" t="inlineStr">
        <is>
          <t>Phần thân</t>
        </is>
      </c>
      <c r="B11" s="4"/>
      <c r="C11" s="4"/>
    </row>
  </sheetData>
  <mergeCells count="1">
    <mergeCell ref="A1:C1"/>
  </mergeCells>
  <hyperlinks>
    <hyperlink ref="G1" location="'Mục lục'!A69" display="← Mục lục"/>
  </hyperlink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E6"/>
  <sheetViews>
    <sheetView workbookViewId="0">
      <selection activeCell="B4" sqref="B4:B6"/>
    </sheetView>
  </sheetViews>
  <sheetFormatPr defaultRowHeight="15"/>
  <cols>
    <col min="1" max="1" width="5.00" customWidth="1"/>
    <col min="2" max="2" width="46.00" customWidth="1"/>
    <col min="3" max="3" width="10.00" customWidth="1"/>
    <col min="5" max="5" width="12.00" customWidth="1"/>
  </cols>
  <sheetData>
    <row r="1">
      <c r="A1" s="29" t="inlineStr">
        <is>
          <t>BIÊN BẢN NGHIỆM THU CÔNG VIỆC XÂY DỰNG</t>
        </is>
      </c>
      <c r="E1" s="105" t="inlineStr">
        <is>
          <t>← Mục lục</t>
        </is>
      </c>
    </row>
    <row r="3">
      <c r="A3" s="3" t="inlineStr">
        <is>
          <t>TT</t>
        </is>
      </c>
      <c r="B3" s="3" t="inlineStr">
        <is>
          <t>Nội dung công việc</t>
        </is>
      </c>
      <c r="C3" s="3" t="inlineStr">
        <is>
          <t>Kết quả</t>
        </is>
      </c>
    </row>
    <row r="4" ht="46.50" customHeight="1">
      <c r="A4" s="6">
        <v>1</v>
      </c>
      <c r="B4" s="47" t="inlineStr">
        <is>
          <t xml:space="preserve">Lắp dựng ván khuôn cột trục A-3
Nghiệm thu cốt thép trước khi đổ
Đổ bê tông cột B22,5 (M300)</t>
        </is>
      </c>
      <c r="C4" s="6" t="inlineStr">
        <is>
          <t>Đạt</t>
        </is>
      </c>
    </row>
    <row r="5" ht="31.50" customHeight="1">
      <c r="A5" s="6">
        <v>2</v>
      </c>
      <c r="B5" s="47" t="inlineStr">
        <is>
          <t xml:space="preserve">Tháo dỡ ván khuôn sau 2 ngày
Bảo dưỡng ẩm bê tông 7 ngày</t>
        </is>
      </c>
      <c r="C5" s="6" t="inlineStr">
        <is>
          <t>Đạt</t>
        </is>
      </c>
    </row>
    <row r="6">
      <c r="A6" s="6">
        <v>3</v>
      </c>
      <c r="B6" s="4" t="inlineStr">
        <is>
          <t>Lấy mẫu thí nghiệm nén 28 ngày</t>
        </is>
      </c>
      <c r="C6" s="6" t="inlineStr">
        <is>
          <t>Đạt</t>
        </is>
      </c>
    </row>
  </sheetData>
  <mergeCells count="1">
    <mergeCell ref="A1:C1"/>
  </mergeCells>
  <hyperlinks>
    <hyperlink ref="E1" location="'Mục lục'!A70" display="← Mục lục"/>
  </hyperlink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E10"/>
  <sheetViews>
    <sheetView workbookViewId="0">
      <selection activeCell="B5" sqref="B5:B7"/>
    </sheetView>
  </sheetViews>
  <sheetFormatPr defaultRowHeight="15"/>
  <cols>
    <col min="1" max="1" width="5.00" customWidth="1"/>
    <col min="2" max="2" width="46.00" customWidth="1"/>
    <col min="3" max="3" width="8.00" customWidth="1"/>
    <col min="5" max="5" width="12.00" customWidth="1"/>
  </cols>
  <sheetData>
    <row r="1">
      <c r="A1" s="29" t="inlineStr">
        <is>
          <t>KẾ HOẠCH KIỂM TRA VÀ NGHIỆM THU (ITP) — PHẦN MÓNG</t>
        </is>
      </c>
      <c r="E1" s="105" t="inlineStr">
        <is>
          <t>← Mục lục</t>
        </is>
      </c>
    </row>
    <row r="3">
      <c r="A3" s="3" t="inlineStr">
        <is>
          <t>TT</t>
        </is>
      </c>
      <c r="B3" s="3" t="inlineStr">
        <is>
          <t>Điểm kiểm tra</t>
        </is>
      </c>
      <c r="C3" s="3" t="inlineStr">
        <is>
          <t>Loại</t>
        </is>
      </c>
    </row>
    <row r="4">
      <c r="A4" s="6">
        <v>1</v>
      </c>
      <c r="B4" s="4" t="inlineStr">
        <is>
          <t>Kiểm tra định vị tim cọc</t>
        </is>
      </c>
      <c r="C4" s="6" t="inlineStr">
        <is>
          <t>W</t>
        </is>
      </c>
    </row>
    <row r="5">
      <c r="A5" s="6">
        <v>2</v>
      </c>
      <c r="B5" s="4" t="inlineStr">
        <is>
          <t>Kiểm tra cao độ đỉnh cọc</t>
        </is>
      </c>
      <c r="C5" s="6" t="inlineStr">
        <is>
          <t>H</t>
        </is>
      </c>
    </row>
    <row r="6">
      <c r="A6" s="6">
        <v>3</v>
      </c>
      <c r="B6" s="4" t="inlineStr">
        <is>
          <t>Nghiệm thu cốt thép trước khi đổ bê tông</t>
        </is>
      </c>
      <c r="C6" s="6" t="inlineStr">
        <is>
          <t>H</t>
        </is>
      </c>
    </row>
    <row r="7">
      <c r="A7" s="6">
        <v>4</v>
      </c>
      <c r="B7" s="4" t="inlineStr">
        <is>
          <t>Thí nghiệm nén mẫu 28 ngày</t>
        </is>
      </c>
      <c r="C7" s="6" t="inlineStr">
        <is>
          <t>H</t>
        </is>
      </c>
    </row>
    <row r="8">
      <c r="A8" s="6">
        <v>5</v>
      </c>
      <c r="B8" s="4" t="inlineStr">
        <is>
          <t>Bảo dưỡng bê tông đài móng</t>
        </is>
      </c>
      <c r="C8" s="6" t="inlineStr">
        <is>
          <t>W</t>
        </is>
      </c>
    </row>
    <row r="10">
      <c r="A10" s="48" t="inlineStr">
        <is>
          <t>H = điểm dừng bắt buộc có mặt tư vấn giám sát; W = điểm chứng kiến</t>
        </is>
      </c>
    </row>
  </sheetData>
  <mergeCells count="1">
    <mergeCell ref="A1:C1"/>
  </mergeCells>
  <hyperlinks>
    <hyperlink ref="E1" location="'Mục lục'!A71" display="← Mục lục"/>
  </hyperlink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E5"/>
  <sheetViews>
    <sheetView workbookViewId="0">
      <selection activeCell="C4" sqref="C4:C5"/>
    </sheetView>
  </sheetViews>
  <sheetFormatPr defaultRowHeight="15"/>
  <cols>
    <col min="1" max="1" width="5.00" customWidth="1"/>
    <col min="2" max="2" width="34.00" customWidth="1"/>
    <col min="3" max="3" width="32.00" customWidth="1"/>
    <col min="5" max="5" width="12.00" customWidth="1"/>
  </cols>
  <sheetData>
    <row r="1">
      <c r="A1" s="29" t="inlineStr">
        <is>
          <t>PHÂN TÍCH VẬT LIỆU ĐƠN GIÁ CHI TIẾT</t>
        </is>
      </c>
      <c r="E1" s="105" t="inlineStr">
        <is>
          <t>← Mục lục</t>
        </is>
      </c>
    </row>
    <row r="3">
      <c r="A3" s="3" t="inlineStr">
        <is>
          <t>TT</t>
        </is>
      </c>
      <c r="B3" s="3" t="inlineStr">
        <is>
          <t>Công tác</t>
        </is>
      </c>
      <c r="C3" s="3" t="inlineStr">
        <is>
          <t>Vật liệu</t>
        </is>
      </c>
    </row>
    <row r="4" ht="63.00" customHeight="1">
      <c r="A4" s="6">
        <v>1</v>
      </c>
      <c r="B4" s="47" t="inlineStr">
        <is>
          <t>Bê tông cột B22,5 (M300), đá 1×2</t>
        </is>
      </c>
      <c r="C4" s="47" t="inlineStr">
        <is>
          <t xml:space="preserve">Xi măng PCB40
Cát vàng
Đá 1×2
Phụ gia hoá dẻo</t>
        </is>
      </c>
    </row>
    <row r="5" ht="48.00" customHeight="1">
      <c r="A5" s="6">
        <v>2</v>
      </c>
      <c r="B5" s="47" t="inlineStr">
        <is>
          <t>Xây tường gạch rỗng 2 lỗ, vữa XM M75</t>
        </is>
      </c>
      <c r="C5" s="47" t="inlineStr">
        <is>
          <t xml:space="preserve">Gạch rỗng 2 lỗ tuynel
Xi măng PCB40
Cát vàng xây trát</t>
        </is>
      </c>
    </row>
  </sheetData>
  <mergeCells count="1">
    <mergeCell ref="A1:C1"/>
  </mergeCells>
  <hyperlinks>
    <hyperlink ref="E1" location="'Mục lục'!A72" display="← Mục lục"/>
  </hyperlink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E7"/>
  <sheetViews>
    <sheetView workbookViewId="0">
      <selection activeCell="B4" sqref="B4:B7"/>
    </sheetView>
  </sheetViews>
  <sheetFormatPr defaultRowHeight="15"/>
  <cols>
    <col min="1" max="1" width="5.00" customWidth="1"/>
    <col min="2" max="2" width="40.00" customWidth="1"/>
    <col min="3" max="3" width="12.00" customWidth="1"/>
    <col min="5" max="5" width="12.00" customWidth="1"/>
  </cols>
  <sheetData>
    <row r="1">
      <c r="A1" s="29" t="inlineStr">
        <is>
          <t>CÁC MỐC TIẾN ĐỘ CHÍNH — NHÀ VĂN PHÒNG 9 TẦNG</t>
        </is>
      </c>
      <c r="E1" s="105" t="inlineStr">
        <is>
          <t>← Mục lục</t>
        </is>
      </c>
    </row>
    <row r="3">
      <c r="A3" s="3" t="inlineStr">
        <is>
          <t>TT</t>
        </is>
      </c>
      <c r="B3" s="3" t="inlineStr">
        <is>
          <t>Mốc hoàn thành</t>
        </is>
      </c>
      <c r="C3" s="3" t="inlineStr">
        <is>
          <t>Ngày</t>
        </is>
      </c>
    </row>
    <row r="4">
      <c r="A4" s="6">
        <v>1</v>
      </c>
      <c r="B4" s="4" t="inlineStr">
        <is>
          <t>Hoàn thành cọc khoan nhồi</t>
        </is>
      </c>
      <c r="C4" s="12">
        <v>46096</v>
      </c>
    </row>
    <row r="5">
      <c r="A5" s="6">
        <v>2</v>
      </c>
      <c r="B5" s="4" t="inlineStr">
        <is>
          <t>Hoàn thành đài móng và giằng</t>
        </is>
      </c>
      <c r="C5" s="12">
        <v>46142</v>
      </c>
    </row>
    <row r="6">
      <c r="A6" s="6">
        <v>3</v>
      </c>
      <c r="B6" s="4" t="inlineStr">
        <is>
          <t>Hoàn thành kết cấu thân</t>
        </is>
      </c>
      <c r="C6" s="12">
        <v>46265</v>
      </c>
    </row>
    <row r="7">
      <c r="A7" s="6">
        <v>4</v>
      </c>
      <c r="B7" s="4" t="inlineStr">
        <is>
          <t>Bàn giao đưa vào sử dụng</t>
        </is>
      </c>
      <c r="C7" s="12">
        <v>46371</v>
      </c>
    </row>
  </sheetData>
  <mergeCells count="1">
    <mergeCell ref="A1:C1"/>
  </mergeCells>
  <hyperlinks>
    <hyperlink ref="E1" location="'Mục lục'!A73" display="← Mục lục"/>
  </hyperlink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F6"/>
  <sheetViews>
    <sheetView workbookViewId="0">
      <selection activeCell="B4" sqref="B4:B6"/>
    </sheetView>
  </sheetViews>
  <sheetFormatPr defaultRowHeight="15"/>
  <cols>
    <col min="1" max="1" width="5.00" customWidth="1"/>
    <col min="2" max="2" width="44.00" customWidth="1"/>
    <col min="3" max="3" width="7.00" customWidth="1"/>
    <col min="4" max="4" width="10.00" customWidth="1"/>
    <col min="6" max="6" width="12.00" customWidth="1"/>
  </cols>
  <sheetData>
    <row r="1">
      <c r="A1" s="29" t="inlineStr">
        <is>
          <t>PHỤ LỤC KHỐI LƯỢNG PHÁT SINH</t>
        </is>
      </c>
      <c r="F1" s="105" t="inlineStr">
        <is>
          <t>← Mục lục</t>
        </is>
      </c>
    </row>
    <row r="3">
      <c r="A3" s="3" t="inlineStr">
        <is>
          <t>TT</t>
        </is>
      </c>
      <c r="B3" s="3" t="inlineStr">
        <is>
          <t>Nội dung</t>
        </is>
      </c>
      <c r="C3" s="3" t="inlineStr">
        <is>
          <t>ĐVT</t>
        </is>
      </c>
      <c r="D3" s="3" t="inlineStr">
        <is>
          <t>Khối lượng</t>
        </is>
      </c>
    </row>
    <row r="4">
      <c r="A4" s="6">
        <v>1</v>
      </c>
      <c r="B4" s="4" t="inlineStr">
        <is>
          <t>Bổ sung bê tông lót móng B7,5 (M100)</t>
        </is>
      </c>
      <c r="C4" s="6" t="inlineStr">
        <is>
          <t>m³</t>
        </is>
      </c>
      <c r="D4" s="32">
        <v>12</v>
      </c>
    </row>
    <row r="5">
      <c r="A5" s="6">
        <v>2</v>
      </c>
      <c r="B5" s="4" t="inlineStr">
        <is>
          <t>Bổ sung cốt thép D16 giằng móng</t>
        </is>
      </c>
      <c r="C5" s="6" t="inlineStr">
        <is>
          <t>kg</t>
        </is>
      </c>
      <c r="D5" s="4">
        <v>850</v>
      </c>
    </row>
    <row r="6">
      <c r="A6" s="6">
        <v>3</v>
      </c>
      <c r="B6" s="4" t="inlineStr">
        <is>
          <t>Bổ sung ván khuôn thành đài móng</t>
        </is>
      </c>
      <c r="C6" s="6" t="inlineStr">
        <is>
          <t>m²</t>
        </is>
      </c>
      <c r="D6" s="32">
        <v>45</v>
      </c>
    </row>
  </sheetData>
  <mergeCells count="1">
    <mergeCell ref="A1:D1"/>
  </mergeCells>
  <hyperlinks>
    <hyperlink ref="F1" location="'Mục lục'!A74" display="← Mục lục"/>
  </hyperlink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E9"/>
  <sheetViews>
    <sheetView workbookViewId="0">
      <selection activeCell="B9" sqref="B9:C9"/>
    </sheetView>
  </sheetViews>
  <sheetFormatPr defaultRowHeight="15"/>
  <cols>
    <col min="1" max="1" width="9.00" customWidth="1"/>
    <col min="2" max="2" width="34.00" customWidth="1"/>
    <col min="3" max="3" width="17.00" customWidth="1"/>
    <col min="5" max="5" width="12.00" customWidth="1"/>
  </cols>
  <sheetData>
    <row r="1">
      <c r="A1" s="29" t="inlineStr">
        <is>
          <t>BẢNG TỔNG HỢP GIÁ DỰ THẦU</t>
        </is>
      </c>
      <c r="E1" s="105" t="inlineStr">
        <is>
          <t>← Mục lục</t>
        </is>
      </c>
    </row>
    <row r="3">
      <c r="A3" s="3" t="inlineStr">
        <is>
          <t>TT</t>
        </is>
      </c>
      <c r="B3" s="3" t="inlineStr">
        <is>
          <t>Hạng mục</t>
        </is>
      </c>
      <c r="C3" s="3" t="inlineStr">
        <is>
          <t>Thành tiền (đồng)</t>
        </is>
      </c>
    </row>
    <row r="4">
      <c r="A4" s="6">
        <v>1</v>
      </c>
      <c r="B4" s="4" t="inlineStr">
        <is>
          <t>Phần móng</t>
        </is>
      </c>
      <c r="C4" s="33">
        <v>4286500000</v>
      </c>
    </row>
    <row r="5">
      <c r="A5" s="6">
        <v>2</v>
      </c>
      <c r="B5" s="4" t="inlineStr">
        <is>
          <t>Phần thân</t>
        </is>
      </c>
      <c r="C5" s="33">
        <v>12940000000</v>
      </c>
    </row>
    <row r="6">
      <c r="A6" s="6">
        <v>3</v>
      </c>
      <c r="B6" s="4" t="inlineStr">
        <is>
          <t>Phần hoàn thiện</t>
        </is>
      </c>
      <c r="C6" s="33">
        <v>7318200000</v>
      </c>
    </row>
    <row r="7">
      <c r="A7" s="31" t="inlineStr">
        <is>
          <t>Cộng</t>
        </is>
      </c>
      <c r="B7" s="4"/>
      <c r="C7" s="49">
        <v>24544700000</v>
      </c>
    </row>
    <row r="9" ht="46.50" customHeight="1">
      <c r="A9" s="48" t="inlineStr">
        <is>
          <t>Ghi chú:</t>
        </is>
      </c>
      <c r="B9" s="50" t="inlineStr">
        <is>
          <t xml:space="preserve">Đơn giá chưa bao gồm thuế GTGT
Giá trị tạm tính, quyết toán theo khối lượng thực tế
Áp dụng cho khối lượng nghiệm thu trước 31/12/2026</t>
        </is>
      </c>
    </row>
  </sheetData>
  <mergeCells count="3">
    <mergeCell ref="A1:C1"/>
    <mergeCell ref="A7:B7"/>
    <mergeCell ref="B9:C9"/>
  </mergeCells>
  <hyperlinks>
    <hyperlink ref="E1" location="'Mục lục'!A75" display="← Mục lục"/>
  </hyperlink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E7"/>
  <sheetViews>
    <sheetView workbookViewId="0">
      <selection activeCell="B4" sqref="B4:B7"/>
    </sheetView>
  </sheetViews>
  <sheetFormatPr defaultRowHeight="15"/>
  <cols>
    <col min="1" max="1" width="5.00" customWidth="1"/>
    <col min="2" max="2" width="50.00" customWidth="1"/>
    <col min="3" max="3" width="12.00" customWidth="1"/>
    <col min="5" max="5" width="12.00" customWidth="1"/>
  </cols>
  <sheetData>
    <row r="1">
      <c r="A1" s="29" t="inlineStr">
        <is>
          <t>DANH MỤC KIỂM TRA TRƯỚC KHI ĐỔ BÊ TÔNG SÀN TẦNG 3</t>
        </is>
      </c>
      <c r="E1" s="105" t="inlineStr">
        <is>
          <t>← Mục lục</t>
        </is>
      </c>
    </row>
    <row r="3">
      <c r="A3" s="3" t="inlineStr">
        <is>
          <t>TT</t>
        </is>
      </c>
      <c r="B3" s="3" t="inlineStr">
        <is>
          <t>Nội dung kiểm tra</t>
        </is>
      </c>
      <c r="C3" s="3" t="inlineStr">
        <is>
          <t>Ghi chú</t>
        </is>
      </c>
    </row>
    <row r="4">
      <c r="A4" s="6">
        <v>1</v>
      </c>
      <c r="B4" s="4" t="inlineStr">
        <is>
          <t>Cốt thép đúng đường kính, khoảng cách theo bản vẽ</t>
        </is>
      </c>
      <c r="C4" s="4"/>
    </row>
    <row r="5">
      <c r="A5" s="6">
        <v>2</v>
      </c>
      <c r="B5" s="4" t="inlineStr">
        <is>
          <t>Con kê đủ, đúng chiều dày lớp bê tông bảo vệ</t>
        </is>
      </c>
      <c r="C5" s="4"/>
    </row>
    <row r="6">
      <c r="A6" s="6">
        <v>3</v>
      </c>
      <c r="B6" s="4" t="inlineStr">
        <is>
          <t>Ván khuôn kín khít, chống đỡ chắc chắn</t>
        </is>
      </c>
      <c r="C6" s="4"/>
    </row>
    <row r="7">
      <c r="A7" s="6">
        <v>4</v>
      </c>
      <c r="B7" s="4" t="inlineStr">
        <is>
          <t>Đã vệ sinh, tưới ẩm mặt ván khuôn</t>
        </is>
      </c>
      <c r="C7" s="4"/>
    </row>
  </sheetData>
  <mergeCells count="1">
    <mergeCell ref="A1:C1"/>
  </mergeCells>
  <hyperlinks>
    <hyperlink ref="E1" location="'Mục lục'!A76" display="← Mục lục"/>
  </hyperlink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E7"/>
  <sheetViews>
    <sheetView workbookViewId="0">
      <selection activeCell="B4" sqref="B4:B6"/>
    </sheetView>
  </sheetViews>
  <sheetFormatPr defaultRowHeight="15"/>
  <cols>
    <col min="1" max="1" width="5.00" customWidth="1"/>
    <col min="2" max="2" width="46.00" customWidth="1"/>
    <col min="3" max="3" width="12.00" customWidth="1"/>
    <col min="5" max="5" width="12.00" customWidth="1"/>
  </cols>
  <sheetData>
    <row r="1">
      <c r="A1" s="29" t="inlineStr">
        <is>
          <t>DANH MỤC HỒ SƠ NGHIỆM THU HOÀN THÀNH PHẦN MÓNG</t>
        </is>
      </c>
      <c r="E1" s="105" t="inlineStr">
        <is>
          <t>← Mục lục</t>
        </is>
      </c>
    </row>
    <row r="3">
      <c r="A3" s="3" t="inlineStr">
        <is>
          <t>TT</t>
        </is>
      </c>
      <c r="B3" s="3" t="inlineStr">
        <is>
          <t>Hồ sơ</t>
        </is>
      </c>
      <c r="C3" s="3" t="inlineStr">
        <is>
          <t>Ngày nộp</t>
        </is>
      </c>
    </row>
    <row r="4">
      <c r="A4" s="6">
        <v>1</v>
      </c>
      <c r="B4" s="4" t="inlineStr">
        <is>
          <t>☐ Biên bản nghiệm thu cốt thép móng</t>
        </is>
      </c>
      <c r="C4" s="12">
        <v>46300</v>
      </c>
    </row>
    <row r="5">
      <c r="A5" s="6">
        <v>2</v>
      </c>
      <c r="B5" s="4" t="inlineStr">
        <is>
          <t>☐ Kết quả thí nghiệm nén mẫu 28 ngày</t>
        </is>
      </c>
      <c r="C5" s="12">
        <v>46300</v>
      </c>
    </row>
    <row r="6">
      <c r="A6" s="6">
        <v>3</v>
      </c>
      <c r="B6" s="4" t="inlineStr">
        <is>
          <t>☐ Nhật ký thi công phần móng</t>
        </is>
      </c>
      <c r="C6" s="12">
        <v>46301</v>
      </c>
    </row>
    <row r="7">
      <c r="A7" s="6">
        <v>4</v>
      </c>
      <c r="B7" s="4" t="inlineStr">
        <is>
          <t>☐ Bản vẽ hoàn công phần móng</t>
        </is>
      </c>
      <c r="C7" s="4"/>
    </row>
  </sheetData>
  <mergeCells count="1">
    <mergeCell ref="A1:C1"/>
  </mergeCells>
  <hyperlinks>
    <hyperlink ref="E1" location="'Mục lục'!A77" display="← Mục lục"/>
  </hyperlink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E7"/>
  <sheetViews>
    <sheetView workbookViewId="0">
      <selection activeCell="B6" sqref="B6:B7"/>
    </sheetView>
  </sheetViews>
  <sheetFormatPr defaultRowHeight="15"/>
  <cols>
    <col min="1" max="1" width="5.00" customWidth="1"/>
    <col min="2" max="2" width="48.00" customWidth="1"/>
    <col min="3" max="3" width="24.00" customWidth="1"/>
    <col min="5" max="5" width="12.00" customWidth="1"/>
  </cols>
  <sheetData>
    <row r="1">
      <c r="A1" s="29" t="inlineStr">
        <is>
          <t>KIỂM TRA VẬT TƯ ĐẦU VÀO — LÔ THÉP NHẬP NGÀY 12/08/2026</t>
        </is>
      </c>
      <c r="E1" s="105" t="inlineStr">
        <is>
          <t>← Mục lục</t>
        </is>
      </c>
    </row>
    <row r="3">
      <c r="A3" s="3" t="inlineStr">
        <is>
          <t>TT</t>
        </is>
      </c>
      <c r="B3" s="3" t="inlineStr">
        <is>
          <t>Nội dung kiểm tra</t>
        </is>
      </c>
      <c r="C3" s="3" t="inlineStr">
        <is>
          <t>Ghi chú</t>
        </is>
      </c>
    </row>
    <row r="4">
      <c r="A4" s="6">
        <v>1</v>
      </c>
      <c r="B4" s="4" t="inlineStr">
        <is>
          <t>☑ Chứng chỉ chất lượng CO/CQ đầy đủ</t>
        </is>
      </c>
      <c r="C4" s="4"/>
    </row>
    <row r="5">
      <c r="A5" s="6">
        <v>2</v>
      </c>
      <c r="B5" s="4" t="inlineStr">
        <is>
          <t>☑ Nhãn mác, đường kính đúng chủng loại đặt hàng</t>
        </is>
      </c>
      <c r="C5" s="4"/>
    </row>
    <row r="6">
      <c r="A6" s="6">
        <v>3</v>
      </c>
      <c r="B6" s="4" t="inlineStr">
        <is>
          <t>☐ Bề mặt không han gỉ, không cong vênh</t>
        </is>
      </c>
      <c r="C6" s="4" t="inlineStr">
        <is>
          <t>Gỉ bề mặt bó số 3</t>
        </is>
      </c>
    </row>
    <row r="7">
      <c r="A7" s="6">
        <v>4</v>
      </c>
      <c r="B7" s="4" t="inlineStr">
        <is>
          <t>☐ Kết quả thí nghiệm kéo đạt yêu cầu</t>
        </is>
      </c>
      <c r="C7" s="4" t="inlineStr">
        <is>
          <t>Mẫu D16 không đạt</t>
        </is>
      </c>
    </row>
  </sheetData>
  <mergeCells count="1">
    <mergeCell ref="A1:C1"/>
  </mergeCells>
  <hyperlinks>
    <hyperlink ref="E1" location="'Mục lục'!A78" display="← Mục lục"/>
  </hyperlink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D6"/>
  <sheetViews>
    <sheetView workbookViewId="0">
      <selection activeCell="B4" sqref="B4:B6"/>
    </sheetView>
  </sheetViews>
  <sheetFormatPr defaultRowHeight="15"/>
  <cols>
    <col min="1" max="1" width="5.00" customWidth="1"/>
    <col min="2" max="2" width="54.00" customWidth="1"/>
    <col min="4" max="4" width="12.00" customWidth="1"/>
  </cols>
  <sheetData>
    <row r="1">
      <c r="A1" s="29" t="inlineStr">
        <is>
          <t>THUYẾT MINH BIỆN PHÁP THI CÔNG CỌC KHOAN NHỒI</t>
        </is>
      </c>
      <c r="D1" s="105" t="inlineStr">
        <is>
          <t>← Mục lục</t>
        </is>
      </c>
    </row>
    <row r="3">
      <c r="A3" s="3" t="inlineStr">
        <is>
          <t>TT</t>
        </is>
      </c>
      <c r="B3" s="3" t="inlineStr">
        <is>
          <t>Trình tự thi công</t>
        </is>
      </c>
    </row>
    <row r="4" ht="46.50" customHeight="1">
      <c r="A4" s="6">
        <v>1</v>
      </c>
      <c r="B4" s="47" t="inlineStr">
        <is>
          <t xml:space="preserve">● Vệ sinh mặt bằng, định vị tim cọc
● Khoan tạo lỗ đến cao độ thiết kế
● Hạ lồng thép, đổ bê tông</t>
        </is>
      </c>
    </row>
    <row r="5" ht="31.50" customHeight="1">
      <c r="A5" s="6">
        <v>2</v>
      </c>
      <c r="B5" s="47" t="inlineStr">
        <is>
          <t xml:space="preserve">− Kiểm tra độ sâu hố khoan
− Đo chiều dày lớp lắng đáy hố</t>
        </is>
      </c>
    </row>
    <row r="6">
      <c r="A6" s="6">
        <v>3</v>
      </c>
      <c r="B6" s="4" t="inlineStr">
        <is>
          <t>★ Bê tông cọc B30 (M400)</t>
        </is>
      </c>
    </row>
  </sheetData>
  <mergeCells count="1">
    <mergeCell ref="A1:B1"/>
  </mergeCells>
  <hyperlinks>
    <hyperlink ref="D1" location="'Mục lục'!A79" display="← Mục lục"/>
  </hyperlink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42.00" customWidth="1"/>
    <col min="2" max="2" width="12.00" customWidth="1"/>
    <col min="3" max="3" width="9.00" customWidth="1"/>
    <col min="5" max="5" width="12.00" customWidth="1"/>
  </cols>
  <sheetData>
    <row r="1">
      <c r="A1" s="29" t="inlineStr">
        <is>
          <t>DANH MỤC CÔNG VIỆC PHẦN MÓNG</t>
        </is>
      </c>
      <c r="E1" s="105" t="inlineStr">
        <is>
          <t>← Mục lục</t>
        </is>
      </c>
    </row>
    <row r="3">
      <c r="A3" s="3" t="inlineStr">
        <is>
          <t>Công việc</t>
        </is>
      </c>
      <c r="B3" s="3" t="inlineStr">
        <is>
          <t>Bắt đầu</t>
        </is>
      </c>
      <c r="C3" s="3" t="inlineStr">
        <is>
          <t>Số ngày</t>
        </is>
      </c>
    </row>
    <row r="4">
      <c r="A4" s="4" t="inlineStr">
        <is>
          <t>Đào móng trục A-D</t>
        </is>
      </c>
      <c r="B4" s="12">
        <v>46083</v>
      </c>
      <c r="C4" s="4">
        <v>6</v>
      </c>
    </row>
    <row r="5">
      <c r="A5" s="4" t="inlineStr">
        <is>
          <t>Đổ bê tông lót</t>
        </is>
      </c>
      <c r="B5" s="12">
        <v>46090</v>
      </c>
      <c r="C5" s="4">
        <v>2</v>
      </c>
    </row>
    <row r="6" ht="31.50" customHeight="1">
      <c r="A6" s="47" t="inlineStr">
        <is>
          <t xml:space="preserve">Gia công cốt thép đài móng
Lắp dựng cốt thép đài móng</t>
        </is>
      </c>
      <c r="B6" s="12">
        <v>46092</v>
      </c>
      <c r="C6" s="4">
        <v>5</v>
      </c>
    </row>
    <row r="7">
      <c r="A7" s="4" t="inlineStr">
        <is>
          <t>Đổ bê tông đài móng</t>
        </is>
      </c>
      <c r="B7" s="12">
        <v>46098</v>
      </c>
      <c r="C7" s="4">
        <v>2</v>
      </c>
    </row>
  </sheetData>
  <mergeCells count="1">
    <mergeCell ref="A1:C1"/>
  </mergeCells>
  <hyperlinks>
    <hyperlink ref="E1" location="'Mục lục'!A80" display="← Mục lục"/>
  </hyperlink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D7"/>
  <sheetViews>
    <sheetView workbookViewId="0">
      <selection activeCell="A4" sqref="A4:A7"/>
    </sheetView>
  </sheetViews>
  <sheetFormatPr defaultRowHeight="15"/>
  <cols>
    <col min="1" max="1" width="36.00" customWidth="1"/>
    <col min="2" max="2" width="18.00" customWidth="1"/>
    <col min="4" max="4" width="12.00" customWidth="1"/>
  </cols>
  <sheetData>
    <row r="1">
      <c r="A1" s="29" t="inlineStr">
        <is>
          <t>BẢNG TỔNG HỢP KHỐI LƯỢNG</t>
        </is>
      </c>
      <c r="D1" s="105" t="inlineStr">
        <is>
          <t>← Mục lục</t>
        </is>
      </c>
    </row>
    <row r="3">
      <c r="A3" s="3" t="inlineStr">
        <is>
          <t>Hạng mục</t>
        </is>
      </c>
      <c r="B3" s="3" t="inlineStr">
        <is>
          <t>Giá trị (đồng)</t>
        </is>
      </c>
    </row>
    <row r="4">
      <c r="A4" s="25" t="inlineStr">
        <is>
          <t>Công tác đất</t>
        </is>
      </c>
      <c r="B4" s="33">
        <v>386400000</v>
      </c>
    </row>
    <row r="5">
      <c r="A5" s="25" t="inlineStr">
        <is>
          <t>Công tác bê tông</t>
        </is>
      </c>
      <c r="B5" s="33">
        <v>2915700000</v>
      </c>
    </row>
    <row r="6">
      <c r="A6" s="25" t="inlineStr">
        <is>
          <t>Công tác cốt thép</t>
        </is>
      </c>
      <c r="B6" s="33">
        <v>1842300000</v>
      </c>
    </row>
    <row r="7">
      <c r="A7" s="25" t="inlineStr">
        <is>
          <t>Công tác ván khuôn</t>
        </is>
      </c>
      <c r="B7" s="33">
        <v>624900000</v>
      </c>
    </row>
  </sheetData>
  <mergeCells count="1">
    <mergeCell ref="A1:B1"/>
  </mergeCells>
  <hyperlinks>
    <hyperlink ref="D1" location="'Mục lục'!A81" display="← Mục lục"/>
  </hyperlink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D7"/>
  <sheetViews>
    <sheetView workbookViewId="0">
      <selection activeCell="A4" sqref="A4:A7"/>
    </sheetView>
  </sheetViews>
  <sheetFormatPr defaultRowHeight="15"/>
  <cols>
    <col min="1" max="1" width="50.00" customWidth="1"/>
    <col min="2" max="2" width="9.00" customWidth="1"/>
    <col min="4" max="4" width="12.00" customWidth="1"/>
  </cols>
  <sheetData>
    <row r="1">
      <c r="A1" s="29" t="inlineStr">
        <is>
          <t>THUYẾT MINH BIỆN PHÁP THI CÔNG PHẦN THÂN</t>
        </is>
      </c>
      <c r="D1" s="105" t="inlineStr">
        <is>
          <t>← Mục lục</t>
        </is>
      </c>
    </row>
    <row r="3">
      <c r="A3" s="3" t="inlineStr">
        <is>
          <t>Mục</t>
        </is>
      </c>
      <c r="B3" s="3" t="inlineStr">
        <is>
          <t>Trang</t>
        </is>
      </c>
    </row>
    <row r="4">
      <c r="A4" s="4" t="inlineStr">
        <is>
          <t>Công tác chuẩn bị mặt bằng</t>
        </is>
      </c>
      <c r="B4" s="4">
        <v>3</v>
      </c>
    </row>
    <row r="5">
      <c r="A5" s="4" t="inlineStr">
        <is>
          <t>Biện pháp cốp pha, giàn giáo</t>
        </is>
      </c>
      <c r="B5" s="4">
        <v>7</v>
      </c>
    </row>
    <row r="6">
      <c r="A6" s="4" t="inlineStr">
        <is>
          <t>Biện pháp cốt thép</t>
        </is>
      </c>
      <c r="B6" s="4">
        <v>15</v>
      </c>
    </row>
    <row r="7">
      <c r="A7" s="4" t="inlineStr">
        <is>
          <t>An toàn lao động và vệ sinh môi trường</t>
        </is>
      </c>
      <c r="B7" s="4">
        <v>22</v>
      </c>
    </row>
  </sheetData>
  <mergeCells count="1">
    <mergeCell ref="A1:B1"/>
  </mergeCells>
  <hyperlinks>
    <hyperlink ref="D1" location="'Mục lục'!A82" display="← Mục lục"/>
  </hyperlink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44.00" customWidth="1"/>
    <col min="2" max="2" width="7.00" customWidth="1"/>
    <col min="3" max="3" width="10.00" customWidth="1"/>
    <col min="5" max="5" width="12.00" customWidth="1"/>
  </cols>
  <sheetData>
    <row r="1">
      <c r="A1" s="29" t="inlineStr">
        <is>
          <t>CÔNG TÁC CỐT THÉP ĐÀI MÓNG</t>
        </is>
      </c>
      <c r="E1" s="105" t="inlineStr">
        <is>
          <t>← Mục lục</t>
        </is>
      </c>
    </row>
    <row r="3">
      <c r="A3" s="3" t="inlineStr">
        <is>
          <t>Công việc</t>
        </is>
      </c>
      <c r="B3" s="3" t="inlineStr">
        <is>
          <t>ĐVT</t>
        </is>
      </c>
      <c r="C3" s="3" t="inlineStr">
        <is>
          <t>Khối lượng</t>
        </is>
      </c>
    </row>
    <row r="4">
      <c r="A4" s="4" t="inlineStr">
        <is>
          <t>Gia công cốt thép đài móng</t>
        </is>
      </c>
      <c r="B4" s="6" t="inlineStr">
        <is>
          <t>tấn</t>
        </is>
      </c>
      <c r="C4" s="32">
        <v>18.6</v>
      </c>
    </row>
    <row r="5">
      <c r="A5" s="4" t="inlineStr">
        <is>
          <t>Lắp dựng cốt thép đài móng</t>
        </is>
      </c>
      <c r="B5" s="6" t="inlineStr">
        <is>
          <t>tấn</t>
        </is>
      </c>
      <c r="C5" s="32">
        <v>18.6</v>
      </c>
    </row>
    <row r="6">
      <c r="A6" s="4" t="inlineStr">
        <is>
          <t>Buộc con kê bảo vệ</t>
        </is>
      </c>
      <c r="B6" s="6" t="inlineStr">
        <is>
          <t>cái</t>
        </is>
      </c>
      <c r="C6" s="33">
        <v>1240</v>
      </c>
    </row>
    <row r="7">
      <c r="A7" s="4" t="inlineStr">
        <is>
          <t>Hàn nối cốt thép D25</t>
        </is>
      </c>
      <c r="B7" s="6" t="inlineStr">
        <is>
          <t>mối</t>
        </is>
      </c>
      <c r="C7" s="4">
        <v>96</v>
      </c>
    </row>
  </sheetData>
  <mergeCells count="1">
    <mergeCell ref="A1:C1"/>
  </mergeCells>
  <hyperlinks>
    <hyperlink ref="E1" location="'Mục lục'!A83" display="← Mục lục"/>
  </hyperlink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E7"/>
  <sheetViews>
    <sheetView workbookViewId="0">
      <selection activeCell="A4" sqref="A4:A7"/>
    </sheetView>
  </sheetViews>
  <sheetFormatPr defaultRowHeight="15"/>
  <cols>
    <col min="1" max="1" width="44.00" customWidth="1"/>
    <col min="2" max="2" width="7.00" customWidth="1"/>
    <col min="3" max="3" width="10.00" customWidth="1"/>
    <col min="5" max="5" width="12.00" customWidth="1"/>
  </cols>
  <sheetData>
    <row r="1">
      <c r="A1" s="29" t="inlineStr">
        <is>
          <t>BẢNG KHỐI LƯỢNG PHẦN MÓNG</t>
        </is>
      </c>
      <c r="E1" s="105" t="inlineStr">
        <is>
          <t>← Mục lục</t>
        </is>
      </c>
    </row>
    <row r="3">
      <c r="A3" s="3" t="inlineStr">
        <is>
          <t>Nội dung công việc</t>
        </is>
      </c>
      <c r="B3" s="3" t="inlineStr">
        <is>
          <t>ĐVT</t>
        </is>
      </c>
      <c r="C3" s="3" t="inlineStr">
        <is>
          <t>Khối lượng</t>
        </is>
      </c>
    </row>
    <row r="4">
      <c r="A4" s="4" t="inlineStr">
        <is>
          <t>1. Đào đất hố móng bằng máy</t>
        </is>
      </c>
      <c r="B4" s="6" t="inlineStr">
        <is>
          <t>m³</t>
        </is>
      </c>
      <c r="C4" s="32">
        <v>412.6</v>
      </c>
    </row>
    <row r="5">
      <c r="A5" s="4" t="inlineStr">
        <is>
          <t>2. Đổ bê tông lót móng B7,5 (M100)</t>
        </is>
      </c>
      <c r="B5" s="6" t="inlineStr">
        <is>
          <t>m³</t>
        </is>
      </c>
      <c r="C5" s="32">
        <v>18.4</v>
      </c>
    </row>
    <row r="6">
      <c r="A6" s="4" t="inlineStr">
        <is>
          <t>3. Gia công lắp dựng cốt thép móng</t>
        </is>
      </c>
      <c r="B6" s="6" t="inlineStr">
        <is>
          <t>tấn</t>
        </is>
      </c>
      <c r="C6" s="32">
        <v>18.6</v>
      </c>
    </row>
    <row r="7">
      <c r="A7" s="4" t="inlineStr">
        <is>
          <t>3. Lắp dựng ván khuôn đài móng</t>
        </is>
      </c>
      <c r="B7" s="6" t="inlineStr">
        <is>
          <t>m²</t>
        </is>
      </c>
      <c r="C7" s="32">
        <v>96.5</v>
      </c>
    </row>
  </sheetData>
  <mergeCells count="1">
    <mergeCell ref="A1:C1"/>
  </mergeCells>
  <hyperlinks>
    <hyperlink ref="E1" location="'Mục lục'!A84" display="← Mục lục"/>
  </hyperlink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E11"/>
  <sheetViews>
    <sheetView workbookViewId="0">
      <selection activeCell="A4" sqref="A4:A11"/>
    </sheetView>
  </sheetViews>
  <sheetFormatPr defaultRowHeight="15"/>
  <cols>
    <col min="1" max="1" width="46.00" customWidth="1"/>
    <col min="2" max="2" width="7.00" customWidth="1"/>
    <col min="3" max="3" width="10.00" customWidth="1"/>
    <col min="5" max="5" width="12.00" customWidth="1"/>
  </cols>
  <sheetData>
    <row r="1">
      <c r="A1" s="29" t="inlineStr">
        <is>
          <t>DỰ TOÁN CHI TIẾT — NHÀ VĂN PHÒNG 9 TẦNG</t>
        </is>
      </c>
      <c r="E1" s="105" t="inlineStr">
        <is>
          <t>← Mục lục</t>
        </is>
      </c>
    </row>
    <row r="3">
      <c r="A3" s="3" t="inlineStr">
        <is>
          <t>Hạng mục</t>
        </is>
      </c>
      <c r="B3" s="3" t="inlineStr">
        <is>
          <t>ĐVT</t>
        </is>
      </c>
      <c r="C3" s="3" t="inlineStr">
        <is>
          <t>Khối lượng</t>
        </is>
      </c>
    </row>
    <row r="4">
      <c r="A4" s="25" t="inlineStr">
        <is>
          <t>Phần ngầm</t>
        </is>
      </c>
      <c r="B4" s="4"/>
      <c r="C4" s="4"/>
    </row>
    <row r="5">
      <c r="A5" s="51" t="inlineStr">
        <is>
          <t>Công tác đất</t>
        </is>
      </c>
      <c r="B5" s="4"/>
      <c r="C5" s="4"/>
    </row>
    <row r="6">
      <c r="A6" s="52" t="inlineStr">
        <is>
          <t>Đào móng bằng máy</t>
        </is>
      </c>
      <c r="B6" s="6" t="inlineStr">
        <is>
          <t>m³</t>
        </is>
      </c>
      <c r="C6" s="32">
        <v>412.6</v>
      </c>
    </row>
    <row r="7">
      <c r="A7" s="52" t="inlineStr">
        <is>
          <t>Đào móng thủ công</t>
        </is>
      </c>
      <c r="B7" s="6" t="inlineStr">
        <is>
          <t>m³</t>
        </is>
      </c>
      <c r="C7" s="32">
        <v>45.8</v>
      </c>
    </row>
    <row r="8">
      <c r="A8" s="51" t="inlineStr">
        <is>
          <t>Công tác bê tông móng</t>
        </is>
      </c>
      <c r="B8" s="4"/>
      <c r="C8" s="4"/>
    </row>
    <row r="9">
      <c r="A9" s="52" t="inlineStr">
        <is>
          <t>Bê tông lót móng B7,5 (M100)</t>
        </is>
      </c>
      <c r="B9" s="6" t="inlineStr">
        <is>
          <t>m³</t>
        </is>
      </c>
      <c r="C9" s="32">
        <v>18.4</v>
      </c>
    </row>
    <row r="10">
      <c r="A10" s="52" t="inlineStr">
        <is>
          <t>Bê tông móng B22,5 (M300)</t>
        </is>
      </c>
      <c r="B10" s="6" t="inlineStr">
        <is>
          <t>m³</t>
        </is>
      </c>
      <c r="C10" s="32">
        <v>186.2</v>
      </c>
    </row>
    <row r="11">
      <c r="A11" s="25" t="inlineStr">
        <is>
          <t>Phần thân</t>
        </is>
      </c>
      <c r="B11" s="4"/>
      <c r="C11" s="4"/>
    </row>
  </sheetData>
  <mergeCells count="1">
    <mergeCell ref="A1:C1"/>
  </mergeCells>
  <hyperlinks>
    <hyperlink ref="E1" location="'Mục lục'!A85" display="← Mục lục"/>
  </hyperlink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E8"/>
  <sheetViews>
    <sheetView workbookViewId="0">
      <selection activeCell="A4" sqref="A4:A8"/>
    </sheetView>
  </sheetViews>
  <sheetFormatPr defaultRowHeight="15"/>
  <cols>
    <col min="1" max="1" width="46.00" customWidth="1"/>
    <col min="2" max="2" width="7.00" customWidth="1"/>
    <col min="3" max="3" width="10.00" customWidth="1"/>
    <col min="5" max="5" width="12.00" customWidth="1"/>
  </cols>
  <sheetData>
    <row r="1">
      <c r="A1" s="29" t="inlineStr">
        <is>
          <t>DỰ TOÁN CHI TIẾT — NHÀ VĂN PHÒNG 9 TẦNG</t>
        </is>
      </c>
      <c r="E1" s="105" t="inlineStr">
        <is>
          <t>← Mục lục</t>
        </is>
      </c>
    </row>
    <row r="3">
      <c r="A3" s="3" t="inlineStr">
        <is>
          <t>Hạng mục</t>
        </is>
      </c>
      <c r="B3" s="3" t="inlineStr">
        <is>
          <t>ĐVT</t>
        </is>
      </c>
      <c r="C3" s="3" t="inlineStr">
        <is>
          <t>Khối lượng</t>
        </is>
      </c>
    </row>
    <row r="4">
      <c r="A4" s="25" t="inlineStr">
        <is>
          <t>1. Phần ngầm</t>
        </is>
      </c>
      <c r="B4" s="4"/>
      <c r="C4" s="4"/>
    </row>
    <row r="5">
      <c r="A5" s="51" t="inlineStr">
        <is>
          <t>1.1. Công tác đất</t>
        </is>
      </c>
      <c r="B5" s="4"/>
      <c r="C5" s="4"/>
    </row>
    <row r="6">
      <c r="A6" s="52" t="inlineStr">
        <is>
          <t>1.1.1. Đào móng bằng máy</t>
        </is>
      </c>
      <c r="B6" s="6" t="inlineStr">
        <is>
          <t>m³</t>
        </is>
      </c>
      <c r="C6" s="32">
        <v>412.6</v>
      </c>
    </row>
    <row r="7">
      <c r="A7" s="52" t="inlineStr">
        <is>
          <t>1.1.2. Đào móng thủ công</t>
        </is>
      </c>
      <c r="B7" s="6" t="inlineStr">
        <is>
          <t>m³</t>
        </is>
      </c>
      <c r="C7" s="32">
        <v>45.8</v>
      </c>
    </row>
    <row r="8">
      <c r="A8" s="25" t="inlineStr">
        <is>
          <t>2. Phần thân</t>
        </is>
      </c>
      <c r="B8" s="4"/>
      <c r="C8" s="4"/>
    </row>
  </sheetData>
  <mergeCells count="1">
    <mergeCell ref="A1:C1"/>
  </mergeCells>
  <hyperlinks>
    <hyperlink ref="E1" location="'Mục lục'!A86" display="← Mục lục"/>
  </hyperlink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D5"/>
  <sheetViews>
    <sheetView workbookViewId="0">
      <selection activeCell="B2" sqref="B2:B5"/>
    </sheetView>
  </sheetViews>
  <sheetFormatPr defaultRowHeight="15"/>
  <cols>
    <col min="1" max="1" width="5.00" customWidth="1"/>
    <col min="2" max="2" width="54.00" customWidth="1"/>
    <col min="4" max="4" width="12.00" customWidth="1"/>
  </cols>
  <sheetData>
    <row r="1">
      <c r="A1" s="3" t="inlineStr">
        <is>
          <t>TT</t>
        </is>
      </c>
      <c r="B1" s="3" t="inlineStr">
        <is>
          <t>Diễn giải công việc</t>
        </is>
      </c>
      <c r="D1" s="105" t="inlineStr">
        <is>
          <t>← Mục lục</t>
        </is>
      </c>
    </row>
    <row r="2">
      <c r="A2" s="6">
        <v>1</v>
      </c>
      <c r="B2" s="4" t="inlineStr">
        <is>
          <t>đổ  bê tông cột tầng 3. nghiệm thu trước khi đổ</t>
        </is>
      </c>
    </row>
    <row r="3">
      <c r="A3" s="6">
        <v>2</v>
      </c>
      <c r="B3" s="4" t="inlineStr">
        <is>
          <t>LẮP DỰNG VÁN KHUÔN DẦM SÀN THEO TCVN 4453</t>
        </is>
      </c>
    </row>
    <row r="4">
      <c r="A4" s="6">
        <v>3</v>
      </c>
      <c r="B4" s="4" t="inlineStr">
        <is>
          <t>ghi chú: kiểm tra cao độ cột C1</t>
        </is>
      </c>
    </row>
    <row r="5">
      <c r="A5" s="6">
        <v>4</v>
      </c>
      <c r="B5" s="4" t="inlineStr">
        <is>
          <t>cường độ bê tông đạt 30 MPa. lấy mẫu theo TCVN 3105</t>
        </is>
      </c>
    </row>
  </sheetData>
  <hyperlinks>
    <hyperlink ref="D1" location="'Mục lục'!A87" display="← Mục lục"/>
  </hyperlink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D4"/>
  <sheetViews>
    <sheetView workbookViewId="0">
      <selection activeCell="A1" sqref="A1:A4"/>
    </sheetView>
  </sheetViews>
  <sheetFormatPr defaultRowHeight="15"/>
  <cols>
    <col min="1" max="1" width="46.00" customWidth="1"/>
    <col min="2" max="2" width="10.00" customWidth="1"/>
    <col min="4" max="4" width="12.00" customWidth="1"/>
  </cols>
  <sheetData>
    <row r="1">
      <c r="A1" s="18" t="inlineStr">
        <is>
          <t>Biên bản nghiệm thu công việc xây dựng</t>
        </is>
      </c>
      <c r="D1" s="105" t="inlineStr">
        <is>
          <t>← Mục lục</t>
        </is>
      </c>
    </row>
    <row r="2">
      <c r="A2" s="18" t="inlineStr">
        <is>
          <t>Công tác bê tông cột tầng 3</t>
        </is>
      </c>
    </row>
    <row r="3">
      <c r="A3" s="18" t="inlineStr">
        <is>
          <t>Chủ đầu tư: Ban QLDA số 2</t>
        </is>
      </c>
    </row>
    <row r="4">
      <c r="A4" s="18" t="inlineStr">
        <is>
          <t>Bê tông B25, cường độ 30 MPa</t>
        </is>
      </c>
    </row>
  </sheetData>
  <hyperlinks>
    <hyperlink ref="D1" location="'Mục lục'!A88" display="← Mục lục"/>
  </hyperlink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D5"/>
  <sheetViews>
    <sheetView workbookViewId="0">
      <selection activeCell="B2" sqref="B2:B5"/>
    </sheetView>
  </sheetViews>
  <sheetFormatPr defaultRowHeight="15"/>
  <cols>
    <col min="1" max="1" width="5.00" customWidth="1"/>
    <col min="2" max="2" width="46.00" customWidth="1"/>
    <col min="4" max="4" width="12.00" customWidth="1"/>
  </cols>
  <sheetData>
    <row r="1">
      <c r="A1" s="3" t="inlineStr">
        <is>
          <t>TT</t>
        </is>
      </c>
      <c r="B1" s="3" t="inlineStr">
        <is>
          <t>Tên công tác</t>
        </is>
      </c>
      <c r="D1" s="105" t="inlineStr">
        <is>
          <t>← Mục lục</t>
        </is>
      </c>
    </row>
    <row r="2">
      <c r="A2" s="6">
        <v>1</v>
      </c>
      <c r="B2" s="4" t="inlineStr">
        <is>
          <t>CÔNG TÁC BÊ TÔNG BTCT MÓNG M1</t>
        </is>
      </c>
    </row>
    <row r="3">
      <c r="A3" s="6">
        <v>2</v>
      </c>
      <c r="B3" s="4" t="inlineStr">
        <is>
          <t>ỐNG HDPE D110 THEO TCVN 7305</t>
        </is>
      </c>
    </row>
    <row r="4">
      <c r="A4" s="6">
        <v>3</v>
      </c>
      <c r="B4" s="4" t="inlineStr">
        <is>
          <t>Bê Tông Lót Móng Đá 4x6</t>
        </is>
      </c>
    </row>
    <row r="5">
      <c r="A5" s="6">
        <v>4</v>
      </c>
      <c r="B5" s="4" t="inlineStr">
        <is>
          <t>Cường Độ Bê Tông Đạt 30 MPa</t>
        </is>
      </c>
    </row>
  </sheetData>
  <hyperlinks>
    <hyperlink ref="D1" location="'Mục lục'!A89" display="← Mục lục"/>
  </hyperlink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E6"/>
  <sheetViews>
    <sheetView workbookViewId="0">
      <selection activeCell="B2" sqref="B2:B6"/>
    </sheetView>
  </sheetViews>
  <sheetFormatPr defaultRowHeight="15"/>
  <cols>
    <col min="1" max="1" width="5.00" customWidth="1"/>
    <col min="2" max="2" width="40.00" customWidth="1"/>
    <col min="3" max="3" width="18.00" customWidth="1"/>
    <col min="5" max="5" width="12.00" customWidth="1"/>
  </cols>
  <sheetData>
    <row r="1">
      <c r="A1" s="3" t="inlineStr">
        <is>
          <t>TT</t>
        </is>
      </c>
      <c r="B1" s="3" t="inlineStr">
        <is>
          <t>Họ tên / Đơn vị</t>
        </is>
      </c>
      <c r="C1" s="3" t="inlineStr">
        <is>
          <t>Vai trò</t>
        </is>
      </c>
      <c r="E1" s="105" t="inlineStr">
        <is>
          <t>← Mục lục</t>
        </is>
      </c>
    </row>
    <row r="2">
      <c r="A2" s="6">
        <v>1</v>
      </c>
      <c r="B2" s="4" t="inlineStr">
        <is>
          <t>nguyễn văn an</t>
        </is>
      </c>
      <c r="C2" s="6" t="inlineStr">
        <is>
          <t>Chỉ huy trưởng</t>
        </is>
      </c>
    </row>
    <row r="3">
      <c r="A3" s="6">
        <v>2</v>
      </c>
      <c r="B3" s="4" t="inlineStr">
        <is>
          <t>TRẦN THỊ BÌNH</t>
        </is>
      </c>
      <c r="C3" s="6" t="inlineStr">
        <is>
          <t>Kỹ sư QA/QC</t>
        </is>
      </c>
    </row>
    <row r="4">
      <c r="A4" s="6">
        <v>3</v>
      </c>
      <c r="B4" s="4" t="inlineStr">
        <is>
          <t>lê Hoàng nam</t>
        </is>
      </c>
      <c r="C4" s="6" t="inlineStr">
        <is>
          <t>Tổ trưởng</t>
        </is>
      </c>
    </row>
    <row r="5">
      <c r="A5" s="6">
        <v>4</v>
      </c>
      <c r="B5" s="4" t="inlineStr">
        <is>
          <t>CÔNG TY TNHH XÂY DỰNG HOÀNG LONG</t>
        </is>
      </c>
      <c r="C5" s="6" t="inlineStr">
        <is>
          <t>Thầu phụ</t>
        </is>
      </c>
    </row>
    <row r="6">
      <c r="A6" s="6">
        <v>5</v>
      </c>
      <c r="B6" s="4" t="inlineStr">
        <is>
          <t>tổ đội BTCT khu C1</t>
        </is>
      </c>
      <c r="C6" s="6" t="inlineStr">
        <is>
          <t>Tổ đội</t>
        </is>
      </c>
    </row>
  </sheetData>
  <hyperlinks>
    <hyperlink ref="E1" location="'Mục lục'!A90" display="← Mục lục"/>
  </hyperlink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D4"/>
  <sheetViews>
    <sheetView workbookViewId="0">
      <selection activeCell="B2" sqref="B2:B4"/>
    </sheetView>
  </sheetViews>
  <sheetFormatPr defaultRowHeight="15"/>
  <cols>
    <col min="1" max="1" width="5.00" customWidth="1"/>
    <col min="2" max="2" width="56.00" customWidth="1"/>
    <col min="4" max="4" width="12.00" customWidth="1"/>
  </cols>
  <sheetData>
    <row r="1">
      <c r="A1" s="3" t="inlineStr">
        <is>
          <t>TT</t>
        </is>
      </c>
      <c r="B1" s="3" t="inlineStr">
        <is>
          <t>Diễn giải</t>
        </is>
      </c>
      <c r="D1" s="105" t="inlineStr">
        <is>
          <t>← Mục lục</t>
        </is>
      </c>
    </row>
    <row r="2">
      <c r="A2" s="6">
        <v>1</v>
      </c>
      <c r="B2" s="4" t="inlineStr">
        <is>
          <t>nghiệm thu cốt thép dầm sàn theo tcvn 5574:2018</t>
        </is>
      </c>
    </row>
    <row r="3">
      <c r="A3" s="6">
        <v>2</v>
      </c>
      <c r="B3" s="4" t="inlineStr">
        <is>
          <t>nhà thầu: cty tnhh xây dựng hoàng long</t>
        </is>
      </c>
    </row>
    <row r="4">
      <c r="A4" s="6">
        <v>3</v>
      </c>
      <c r="B4" s="4" t="inlineStr">
        <is>
          <t>giám sát: kỹ sư nguyễn văn an</t>
        </is>
      </c>
    </row>
  </sheetData>
  <hyperlinks>
    <hyperlink ref="D1" location="'Mục lục'!A91" display="← Mục lục"/>
  </hyperlink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F5"/>
  <sheetViews>
    <sheetView workbookViewId="0">
      <selection activeCell="B2" sqref="B2:B5"/>
    </sheetView>
  </sheetViews>
  <sheetFormatPr defaultRowHeight="15"/>
  <cols>
    <col min="1" max="1" width="5.00" customWidth="1"/>
    <col min="2" max="2" width="34.00" customWidth="1"/>
    <col min="3" max="3" width="7.00" customWidth="1"/>
    <col min="4" max="4" width="10.00" customWidth="1"/>
    <col min="6" max="6" width="12.00" customWidth="1"/>
  </cols>
  <sheetData>
    <row r="1" ht="19.50" customHeight="1">
      <c r="A1" s="3" t="inlineStr">
        <is>
          <t>TT</t>
        </is>
      </c>
      <c r="B1" s="3" t="inlineStr">
        <is>
          <t>Tên công tác</t>
        </is>
      </c>
      <c r="C1" s="3" t="inlineStr">
        <is>
          <t>ĐVT</t>
        </is>
      </c>
      <c r="D1" s="3" t="inlineStr">
        <is>
          <t>Khối lượng</t>
        </is>
      </c>
      <c r="F1" s="105" t="inlineStr">
        <is>
          <t>← Mục lục</t>
        </is>
      </c>
    </row>
    <row r="2" ht="30.00" customHeight="1">
      <c r="A2" s="6">
        <v>1</v>
      </c>
      <c r="B2" s="47" t="inlineStr">
        <is>
          <t xml:space="preserve">Bê tông lót móng M150
Lean concrete M150</t>
        </is>
      </c>
      <c r="C2" s="6" t="inlineStr">
        <is>
          <t>m3</t>
        </is>
      </c>
      <c r="D2" s="32">
        <v>12.5</v>
      </c>
    </row>
    <row r="3" ht="30.00" customHeight="1">
      <c r="A3" s="6">
        <v>2</v>
      </c>
      <c r="B3" s="47" t="inlineStr">
        <is>
          <t xml:space="preserve">Bê tông móng M300
Footing concrete M300</t>
        </is>
      </c>
      <c r="C3" s="6" t="inlineStr">
        <is>
          <t>m3</t>
        </is>
      </c>
      <c r="D3" s="32">
        <v>86.4</v>
      </c>
    </row>
    <row r="4" ht="30.00" customHeight="1">
      <c r="A4" s="6">
        <v>3</v>
      </c>
      <c r="B4" s="47" t="inlineStr">
        <is>
          <t xml:space="preserve">Bê tông cột M300
Column concrete M300</t>
        </is>
      </c>
      <c r="C4" s="6" t="inlineStr">
        <is>
          <t>m3</t>
        </is>
      </c>
      <c r="D4" s="32">
        <v>24.6</v>
      </c>
    </row>
    <row r="5" ht="30.00" customHeight="1">
      <c r="A5" s="6">
        <v>4</v>
      </c>
      <c r="B5" s="47" t="inlineStr">
        <is>
          <t xml:space="preserve">Ván khuôn cột
Column formwork</t>
        </is>
      </c>
      <c r="C5" s="6" t="inlineStr">
        <is>
          <t>m2</t>
        </is>
      </c>
      <c r="D5" s="32">
        <v>182</v>
      </c>
    </row>
  </sheetData>
  <hyperlinks>
    <hyperlink ref="F1" location="'Mục lục'!A92" display="← Mục lục"/>
  </hyperlink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E4"/>
  <sheetViews>
    <sheetView workbookViewId="0">
      <selection activeCell="B2" sqref="B2:B4"/>
    </sheetView>
  </sheetViews>
  <sheetFormatPr defaultRowHeight="15"/>
  <cols>
    <col min="1" max="1" width="5.00" customWidth="1"/>
    <col min="2" max="2" width="42.00" customWidth="1"/>
    <col min="3" max="3" width="7.00" customWidth="1"/>
    <col min="5" max="5" width="12.00" customWidth="1"/>
  </cols>
  <sheetData>
    <row r="1">
      <c r="A1" s="3" t="inlineStr">
        <is>
          <t>TT</t>
        </is>
      </c>
      <c r="B1" s="3" t="inlineStr">
        <is>
          <t>Danh mục công tác</t>
        </is>
      </c>
      <c r="C1" s="3" t="inlineStr">
        <is>
          <t>ĐVT</t>
        </is>
      </c>
      <c r="E1" s="105" t="inlineStr">
        <is>
          <t>← Mục lục</t>
        </is>
      </c>
    </row>
    <row r="2">
      <c r="A2" s="6">
        <v>1</v>
      </c>
      <c r="B2" s="4" t="inlineStr">
        <is>
          <t>Bê tông lót móng - AF.11110</t>
        </is>
      </c>
      <c r="C2" s="6" t="inlineStr">
        <is>
          <t>m3</t>
        </is>
      </c>
    </row>
    <row r="3">
      <c r="A3" s="6">
        <v>2</v>
      </c>
      <c r="B3" s="4" t="inlineStr">
        <is>
          <t>Cốt thép móng D≤10 - AF.61110</t>
        </is>
      </c>
      <c r="C3" s="6" t="inlineStr">
        <is>
          <t>tấn</t>
        </is>
      </c>
    </row>
    <row r="4">
      <c r="A4" s="6">
        <v>3</v>
      </c>
      <c r="B4" s="4" t="inlineStr">
        <is>
          <t>Ván khuôn móng - AF.81110</t>
        </is>
      </c>
      <c r="C4" s="6" t="inlineStr">
        <is>
          <t>m2</t>
        </is>
      </c>
    </row>
  </sheetData>
  <hyperlinks>
    <hyperlink ref="E1" location="'Mục lục'!A93" display="← Mục lục"/>
  </hyperlink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F4"/>
  <sheetViews>
    <sheetView workbookViewId="0">
      <selection activeCell="A1" sqref="A1:D1"/>
    </sheetView>
  </sheetViews>
  <sheetFormatPr defaultRowHeight="15"/>
  <cols>
    <col min="1" max="1" width="9.00" customWidth="1"/>
    <col min="2" max="2" width="24.00" customWidth="1"/>
    <col min="3" max="3" width="15.00" customWidth="1"/>
    <col min="4" max="4" width="12.00" customWidth="1"/>
    <col min="6" max="6" width="12.00" customWidth="1"/>
  </cols>
  <sheetData>
    <row r="1">
      <c r="A1" s="3" t="inlineStr">
        <is>
          <t>TT / No.</t>
        </is>
      </c>
      <c r="B1" s="3" t="inlineStr">
        <is>
          <t>Công việc nghiệm thu / Inspected work</t>
        </is>
      </c>
      <c r="C1" s="3" t="inlineStr">
        <is>
          <t>Tiêu chuẩn / Standard</t>
        </is>
      </c>
      <c r="D1" s="3" t="inlineStr">
        <is>
          <t>Kết quả / Result</t>
        </is>
      </c>
      <c r="F1" s="105" t="inlineStr">
        <is>
          <t>← Mục lục</t>
        </is>
      </c>
    </row>
    <row r="2">
      <c r="A2" s="6">
        <v>1</v>
      </c>
      <c r="B2" s="4" t="inlineStr">
        <is>
          <t>Cốt thép dầm sàn tầng 3</t>
        </is>
      </c>
      <c r="C2" s="4" t="inlineStr">
        <is>
          <t>TCVN 4453:1995</t>
        </is>
      </c>
      <c r="D2" s="6" t="inlineStr">
        <is>
          <t>Đạt</t>
        </is>
      </c>
    </row>
    <row r="3">
      <c r="A3" s="6">
        <v>2</v>
      </c>
      <c r="B3" s="4" t="inlineStr">
        <is>
          <t>Ván khuôn dầm sàn tầng 3</t>
        </is>
      </c>
      <c r="C3" s="4" t="inlineStr">
        <is>
          <t>TCVN 4453:1995</t>
        </is>
      </c>
      <c r="D3" s="6" t="inlineStr">
        <is>
          <t>Đạt</t>
        </is>
      </c>
    </row>
    <row r="4">
      <c r="A4" s="6">
        <v>3</v>
      </c>
      <c r="B4" s="4" t="inlineStr">
        <is>
          <t>Bê tông cột tầng 3</t>
        </is>
      </c>
      <c r="C4" s="4" t="inlineStr">
        <is>
          <t>TCVN 4453:1995</t>
        </is>
      </c>
      <c r="D4" s="6" t="inlineStr">
        <is>
          <t>Đạt</t>
        </is>
      </c>
    </row>
  </sheetData>
  <hyperlinks>
    <hyperlink ref="F1" location="'Mục lục'!A94" display="← Mục lục"/>
  </hyperlink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E4"/>
  <sheetViews>
    <sheetView workbookViewId="0">
      <selection activeCell="B2" sqref="B2:B4"/>
    </sheetView>
  </sheetViews>
  <sheetFormatPr defaultRowHeight="15"/>
  <cols>
    <col min="1" max="1" width="5.00" customWidth="1"/>
    <col min="2" max="2" width="34.00" customWidth="1"/>
    <col min="3" max="3" width="11.00" customWidth="1"/>
    <col min="5" max="5" width="12.00" customWidth="1"/>
  </cols>
  <sheetData>
    <row r="1">
      <c r="A1" s="3" t="inlineStr">
        <is>
          <t>TT</t>
        </is>
      </c>
      <c r="B1" s="3" t="inlineStr">
        <is>
          <t>Tên công tác</t>
        </is>
      </c>
      <c r="C1" s="3" t="inlineStr">
        <is>
          <t>Số ký tự</t>
        </is>
      </c>
      <c r="E1" s="105" t="inlineStr">
        <is>
          <t>← Mục lục</t>
        </is>
      </c>
    </row>
    <row r="2">
      <c r="A2" s="6">
        <v>1</v>
      </c>
      <c r="B2" s="4" t="inlineStr">
        <is>
          <t xml:space="preserve">  Bê tông   móng M250 </t>
        </is>
      </c>
      <c r="C2" s="4" t="inlineStr">
        <is>
          <t>22</t>
        </is>
      </c>
    </row>
    <row r="3">
      <c r="A3" s="6">
        <v>2</v>
      </c>
      <c r="B3" s="4" t="inlineStr">
        <is>
          <t xml:space="preserve">Cốt thép  D≤10  </t>
        </is>
      </c>
      <c r="C3" s="4" t="inlineStr">
        <is>
          <t>16</t>
        </is>
      </c>
    </row>
    <row r="4">
      <c r="A4" s="6">
        <v>3</v>
      </c>
      <c r="B4" s="4" t="inlineStr">
        <is>
          <t xml:space="preserve"> Ván khuôn cột   </t>
        </is>
      </c>
      <c r="C4" s="4" t="inlineStr">
        <is>
          <t>17</t>
        </is>
      </c>
    </row>
  </sheetData>
  <hyperlinks>
    <hyperlink ref="E1" location="'Mục lục'!A95" display="← Mục lục"/>
  </hyperlink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F4"/>
  <sheetViews>
    <sheetView workbookViewId="0">
      <selection activeCell="B2" sqref="B2:B4"/>
    </sheetView>
  </sheetViews>
  <sheetFormatPr defaultRowHeight="15"/>
  <cols>
    <col min="1" max="1" width="5.00" customWidth="1"/>
    <col min="2" max="2" width="34.00" customWidth="1"/>
    <col min="3" max="3" width="7.00" customWidth="1"/>
    <col min="4" max="4" width="10.00" customWidth="1"/>
    <col min="6" max="6" width="12.00" customWidth="1"/>
  </cols>
  <sheetData>
    <row r="1">
      <c r="A1" s="3" t="inlineStr">
        <is>
          <t>TT</t>
        </is>
      </c>
      <c r="B1" s="3" t="inlineStr">
        <is>
          <t>Tên công tác</t>
        </is>
      </c>
      <c r="C1" s="3" t="inlineStr">
        <is>
          <t>ĐVT</t>
        </is>
      </c>
      <c r="D1" s="3" t="inlineStr">
        <is>
          <t>Khối lượng</t>
        </is>
      </c>
      <c r="F1" s="105" t="inlineStr">
        <is>
          <t>← Mục lục</t>
        </is>
      </c>
    </row>
    <row r="2">
      <c r="A2" s="6">
        <v>1</v>
      </c>
      <c r="B2" s="4" t="inlineStr">
        <is>
          <t>Bê tông lót đá 4x6</t>
        </is>
      </c>
      <c r="C2" s="6" t="inlineStr">
        <is>
          <t>m3</t>
        </is>
      </c>
      <c r="D2" s="32">
        <v>3.2</v>
      </c>
    </row>
    <row r="3">
      <c r="A3" s="6">
        <v>2</v>
      </c>
      <c r="B3" s="4" t="inlineStr">
        <is>
          <t>Cốt thép móng D≤10</t>
        </is>
      </c>
      <c r="C3" s="6" t="inlineStr">
        <is>
          <t>tấn</t>
        </is>
      </c>
      <c r="D3" s="11">
        <v>0.85</v>
      </c>
    </row>
    <row r="4">
      <c r="A4" s="6">
        <v>3</v>
      </c>
      <c r="B4" s="4" t="inlineStr">
        <is>
          <t>Ván khuôn móng</t>
        </is>
      </c>
      <c r="C4" s="6" t="inlineStr">
        <is>
          <t>m2</t>
        </is>
      </c>
      <c r="D4" s="32">
        <v>14.4</v>
      </c>
    </row>
  </sheetData>
  <hyperlinks>
    <hyperlink ref="F1" location="'Mục lục'!A96" display="← Mục lục"/>
  </hyperlink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E4"/>
  <sheetViews>
    <sheetView workbookViewId="0">
      <selection activeCell="B2" sqref="B2:B4"/>
    </sheetView>
  </sheetViews>
  <sheetFormatPr defaultRowHeight="15"/>
  <cols>
    <col min="1" max="1" width="5.00" customWidth="1"/>
    <col min="2" max="2" width="36.00" customWidth="1"/>
    <col min="3" max="3" width="12.00" customWidth="1"/>
    <col min="5" max="5" width="12.00" customWidth="1"/>
  </cols>
  <sheetData>
    <row r="1">
      <c r="A1" s="3" t="inlineStr">
        <is>
          <t>TT</t>
        </is>
      </c>
      <c r="B1" s="3" t="inlineStr">
        <is>
          <t>Hạng mục</t>
        </is>
      </c>
      <c r="C1" s="3" t="inlineStr">
        <is>
          <t>Ngày NT</t>
        </is>
      </c>
      <c r="E1" s="105" t="inlineStr">
        <is>
          <t>← Mục lục</t>
        </is>
      </c>
    </row>
    <row r="2">
      <c r="A2" s="6">
        <v>1</v>
      </c>
      <c r="B2" s="4" t="inlineStr">
        <is>
          <t>Móng đơn trục A-1</t>
        </is>
      </c>
      <c r="C2" s="12">
        <v>46093</v>
      </c>
    </row>
    <row r="3">
      <c r="A3" s="6">
        <v>2</v>
      </c>
      <c r="B3" s="4" t="inlineStr">
        <is>
          <t>Bê tông cốt thép dầm sàn tầng 2</t>
        </is>
      </c>
      <c r="C3" s="12">
        <v>46107</v>
      </c>
    </row>
    <row r="4">
      <c r="A4" s="6">
        <v>3</v>
      </c>
      <c r="B4" s="4" t="inlineStr">
        <is>
          <t>Đường ống cấp nước D110</t>
        </is>
      </c>
      <c r="C4" s="12">
        <v>46121</v>
      </c>
    </row>
  </sheetData>
  <hyperlinks>
    <hyperlink ref="E1" location="'Mục lục'!A97" display="← Mục lục"/>
  </hyperlink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D5"/>
  <sheetViews>
    <sheetView workbookViewId="0">
      <selection activeCell="B2" sqref="B2:B5"/>
    </sheetView>
  </sheetViews>
  <sheetFormatPr defaultRowHeight="15"/>
  <cols>
    <col min="1" max="1" width="12.00" customWidth="1"/>
    <col min="2" max="2" width="44.00" customWidth="1"/>
    <col min="4" max="4" width="12.00" customWidth="1"/>
  </cols>
  <sheetData>
    <row r="1">
      <c r="A1" s="3" t="inlineStr">
        <is>
          <t>Ngày</t>
        </is>
      </c>
      <c r="B1" s="3" t="inlineStr">
        <is>
          <t>Nội dung công việc</t>
        </is>
      </c>
      <c r="D1" s="105" t="inlineStr">
        <is>
          <t>← Mục lục</t>
        </is>
      </c>
    </row>
    <row r="2">
      <c r="A2" s="12">
        <v>46301</v>
      </c>
      <c r="B2" s="4" t="inlineStr">
        <is>
          <t>tap ket vat tu gach xay tuong</t>
        </is>
      </c>
    </row>
    <row r="3">
      <c r="A3" s="12">
        <v>46301</v>
      </c>
      <c r="B3" s="4" t="inlineStr">
        <is>
          <t>Vệ sinh mặt bằng cuối ngày</t>
        </is>
      </c>
    </row>
    <row r="4">
      <c r="A4" s="12">
        <v>46302</v>
      </c>
      <c r="B4" s="4" t="inlineStr">
        <is>
          <t>nghiem thu cot thep dam san tang 3</t>
        </is>
      </c>
    </row>
    <row r="5">
      <c r="A5" s="12">
        <v>46303</v>
      </c>
      <c r="B5" s="4" t="inlineStr">
        <is>
          <t>do be tong dam san tang 3</t>
        </is>
      </c>
    </row>
  </sheetData>
  <hyperlinks>
    <hyperlink ref="D1" location="'Mục lục'!A98" display="← Mục lục"/>
  </hyperlink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G6"/>
  <sheetViews>
    <sheetView workbookViewId="0">
      <selection activeCell="D2" sqref="D2:E5"/>
    </sheetView>
  </sheetViews>
  <sheetFormatPr defaultRowHeight="15"/>
  <cols>
    <col min="1" max="1" width="5.00" customWidth="1"/>
    <col min="2" max="2" width="24.00" customWidth="1"/>
    <col min="3" max="3" width="6.00" customWidth="1"/>
    <col min="4" max="4" width="11.00" customWidth="1"/>
    <col min="5" max="5" width="12.00" customWidth="1"/>
    <col min="7" max="7" width="12.00" customWidth="1"/>
  </cols>
  <sheetData>
    <row r="1">
      <c r="A1" s="3" t="inlineStr">
        <is>
          <t>TT</t>
        </is>
      </c>
      <c r="B1" s="3" t="inlineStr">
        <is>
          <t>Tên công tác</t>
        </is>
      </c>
      <c r="C1" s="3" t="inlineStr">
        <is>
          <t>ĐVT</t>
        </is>
      </c>
      <c r="D1" s="3" t="inlineStr">
        <is>
          <t>Khối lượng</t>
        </is>
      </c>
      <c r="E1" s="3" t="inlineStr">
        <is>
          <t>Ngày NT</t>
        </is>
      </c>
      <c r="G1" s="105" t="inlineStr">
        <is>
          <t>← Mục lục</t>
        </is>
      </c>
    </row>
    <row r="2">
      <c r="A2" s="6">
        <v>1</v>
      </c>
      <c r="B2" s="4" t="inlineStr">
        <is>
          <t>Bê tông móng M250</t>
        </is>
      </c>
      <c r="C2" s="6" t="inlineStr">
        <is>
          <t>m3</t>
        </is>
      </c>
      <c r="D2" s="27" t="inlineStr">
        <is>
          <t>125,5</t>
        </is>
      </c>
      <c r="E2" s="27" t="inlineStr">
        <is>
          <t>15/03/2026</t>
        </is>
      </c>
    </row>
    <row r="3">
      <c r="A3" s="6">
        <v>2</v>
      </c>
      <c r="B3" s="4" t="inlineStr">
        <is>
          <t>Cốt thép móng</t>
        </is>
      </c>
      <c r="C3" s="6" t="inlineStr">
        <is>
          <t>kg</t>
        </is>
      </c>
      <c r="D3" s="27" t="inlineStr">
        <is>
          <t>1.200</t>
        </is>
      </c>
      <c r="E3" s="27" t="inlineStr">
        <is>
          <t>18/03/2026</t>
        </is>
      </c>
    </row>
    <row r="4">
      <c r="A4" s="6">
        <v>3</v>
      </c>
      <c r="B4" s="4" t="inlineStr">
        <is>
          <t>Ván khuôn móng</t>
        </is>
      </c>
      <c r="C4" s="6" t="inlineStr">
        <is>
          <t>m2</t>
        </is>
      </c>
      <c r="D4" s="27" t="inlineStr">
        <is>
          <t>86,25</t>
        </is>
      </c>
      <c r="E4" s="27" t="inlineStr">
        <is>
          <t>2026-03-20</t>
        </is>
      </c>
    </row>
    <row r="5">
      <c r="A5" s="6">
        <v>4</v>
      </c>
      <c r="B5" s="4" t="inlineStr">
        <is>
          <t>Đào đất hố móng</t>
        </is>
      </c>
      <c r="C5" s="6" t="inlineStr">
        <is>
          <t>m3</t>
        </is>
      </c>
      <c r="D5" s="27" t="inlineStr">
        <is>
          <t>42</t>
        </is>
      </c>
      <c r="E5" s="27" t="inlineStr">
        <is>
          <t>22/03/2026</t>
        </is>
      </c>
    </row>
    <row r="6">
      <c r="A6" s="4"/>
      <c r="B6" s="25" t="inlineStr">
        <is>
          <t>Cộng</t>
        </is>
      </c>
      <c r="C6" s="4"/>
      <c r="D6" s="25">
        <f>SUM(D2:D5)</f>
        <v>0.0</v>
      </c>
      <c r="E6" s="4"/>
    </row>
  </sheetData>
  <hyperlinks>
    <hyperlink ref="G1" location="'Mục lục'!A99" display="← Mục lục"/>
  </hyperlink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F6"/>
  <sheetViews>
    <sheetView workbookViewId="0">
      <selection activeCell="C2" sqref="C2:C6"/>
    </sheetView>
  </sheetViews>
  <sheetFormatPr defaultRowHeight="15"/>
  <cols>
    <col min="1" max="1" width="5.00" customWidth="1"/>
    <col min="2" max="2" width="30.00" customWidth="1"/>
    <col min="3" max="3" width="7.00" customWidth="1"/>
    <col min="4" max="4" width="13.00" customWidth="1"/>
    <col min="6" max="6" width="12.00" customWidth="1"/>
  </cols>
  <sheetData>
    <row r="1">
      <c r="A1" s="3" t="inlineStr">
        <is>
          <t>TT</t>
        </is>
      </c>
      <c r="B1" s="3" t="inlineStr">
        <is>
          <t>Tên công tác</t>
        </is>
      </c>
      <c r="C1" s="3" t="inlineStr">
        <is>
          <t>ĐVT</t>
        </is>
      </c>
      <c r="D1" s="3" t="inlineStr">
        <is>
          <t>Khối lượng</t>
        </is>
      </c>
      <c r="F1" s="105" t="inlineStr">
        <is>
          <t>← Mục lục</t>
        </is>
      </c>
    </row>
    <row r="2">
      <c r="A2" s="6">
        <v>1</v>
      </c>
      <c r="B2" s="4" t="inlineStr">
        <is>
          <t>Bê tông móng M250</t>
        </is>
      </c>
      <c r="C2" s="6" t="inlineStr">
        <is>
          <t>m3</t>
        </is>
      </c>
      <c r="D2" s="32">
        <v>42.5</v>
      </c>
    </row>
    <row r="3">
      <c r="A3" s="6">
        <v>2</v>
      </c>
      <c r="B3" s="4" t="inlineStr">
        <is>
          <t>Ván khuôn móng</t>
        </is>
      </c>
      <c r="C3" s="6" t="inlineStr">
        <is>
          <t>m2</t>
        </is>
      </c>
      <c r="D3" s="32">
        <v>86.4</v>
      </c>
    </row>
    <row r="4">
      <c r="A4" s="6">
        <v>3</v>
      </c>
      <c r="B4" s="4" t="inlineStr">
        <is>
          <t>Cốt thép móng D≤10</t>
        </is>
      </c>
      <c r="C4" s="6" t="inlineStr">
        <is>
          <t>tấn</t>
        </is>
      </c>
      <c r="D4" s="11">
        <v>1.25</v>
      </c>
    </row>
    <row r="5">
      <c r="A5" s="6">
        <v>4</v>
      </c>
      <c r="B5" s="4" t="inlineStr">
        <is>
          <t>Trát tường dày 15 mm</t>
        </is>
      </c>
      <c r="C5" s="6" t="inlineStr">
        <is>
          <t>m2</t>
        </is>
      </c>
      <c r="D5" s="4">
        <v>320</v>
      </c>
    </row>
    <row r="6">
      <c r="A6" s="6">
        <v>5</v>
      </c>
      <c r="B6" s="4" t="inlineStr">
        <is>
          <t>Đào đất hố móng</t>
        </is>
      </c>
      <c r="C6" s="6" t="inlineStr">
        <is>
          <t>m3</t>
        </is>
      </c>
      <c r="D6" s="4">
        <v>156</v>
      </c>
    </row>
  </sheetData>
  <hyperlinks>
    <hyperlink ref="F1" location="'Mục lục'!A100" display="← Mục lục"/>
  </hyperlink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D6"/>
  <sheetViews>
    <sheetView workbookViewId="0">
      <selection activeCell="B2" sqref="B2:B6"/>
    </sheetView>
  </sheetViews>
  <sheetFormatPr defaultRowHeight="15"/>
  <cols>
    <col min="1" max="1" width="5.00" customWidth="1"/>
    <col min="2" max="2" width="42.00" customWidth="1"/>
    <col min="4" max="4" width="12.00" customWidth="1"/>
  </cols>
  <sheetData>
    <row r="1">
      <c r="A1" s="3" t="inlineStr">
        <is>
          <t>TT</t>
        </is>
      </c>
      <c r="B1" s="3" t="inlineStr">
        <is>
          <t>Thành phần / chỉ tiêu</t>
        </is>
      </c>
      <c r="D1" s="105" t="inlineStr">
        <is>
          <t>← Mục lục</t>
        </is>
      </c>
    </row>
    <row r="2">
      <c r="A2" s="6">
        <v>1</v>
      </c>
      <c r="B2" s="4" t="inlineStr">
        <is>
          <t>Nước H2O</t>
        </is>
      </c>
    </row>
    <row r="3">
      <c r="A3" s="6">
        <v>2</v>
      </c>
      <c r="B3" s="4" t="inlineStr">
        <is>
          <t>Vôi tôi Ca(OH)2</t>
        </is>
      </c>
    </row>
    <row r="4">
      <c r="A4" s="6">
        <v>3</v>
      </c>
      <c r="B4" s="4" t="inlineStr">
        <is>
          <t>Khí CO2 (cacbonat hoá)</t>
        </is>
      </c>
    </row>
    <row r="5">
      <c r="A5" s="6">
        <v>4</v>
      </c>
      <c r="B5" s="4" t="inlineStr">
        <is>
          <t>Ion Fe3+ trong nước trộn</t>
        </is>
      </c>
    </row>
    <row r="6">
      <c r="A6" s="6">
        <v>5</v>
      </c>
      <c r="B6" s="4" t="inlineStr">
        <is>
          <t>Bê tông B25, vữa M300</t>
        </is>
      </c>
    </row>
  </sheetData>
  <hyperlinks>
    <hyperlink ref="D1" location="'Mục lục'!A101" display="← Mục lục"/>
  </hyperlink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F9"/>
  <sheetViews>
    <sheetView workbookViewId="0">
      <selection activeCell="B5" sqref="B5"/>
    </sheetView>
  </sheetViews>
  <sheetFormatPr defaultRowHeight="15"/>
  <cols>
    <col min="1" max="1" width="5.00" customWidth="1"/>
    <col min="2" max="2" width="46.00" customWidth="1"/>
    <col min="3" max="3" width="7.00" customWidth="1"/>
    <col min="4" max="4" width="11.00" customWidth="1"/>
    <col min="6" max="6" width="12.00" customWidth="1"/>
  </cols>
  <sheetData>
    <row r="1">
      <c r="A1" s="1" t="inlineStr">
        <is>
          <t>BẢNG DỰ TOÁN CHI TIẾT — PHẦN THÂN</t>
        </is>
      </c>
      <c r="F1" s="105" t="inlineStr">
        <is>
          <t>← Mục lục</t>
        </is>
      </c>
    </row>
    <row r="3">
      <c r="A3" s="3" t="inlineStr">
        <is>
          <t>TT</t>
        </is>
      </c>
      <c r="B3" s="3" t="inlineStr">
        <is>
          <t>Nội dung công việc</t>
        </is>
      </c>
      <c r="C3" s="3" t="inlineStr">
        <is>
          <t>ĐVT</t>
        </is>
      </c>
      <c r="D3" s="3" t="inlineStr">
        <is>
          <t>Khối lượng</t>
        </is>
      </c>
    </row>
    <row r="4">
      <c r="A4" s="6">
        <v>1</v>
      </c>
      <c r="B4" s="4" t="inlineStr">
        <is>
          <t>Bê tông lót móng đá 4x6 M100</t>
        </is>
      </c>
      <c r="C4" s="6" t="inlineStr">
        <is>
          <t>m³</t>
        </is>
      </c>
      <c r="D4" s="32">
        <v>12.6</v>
      </c>
    </row>
    <row r="5">
      <c r="A5" s="6">
        <v>2</v>
      </c>
      <c r="B5" s="4" t="inlineStr">
        <is>
          <t>BTCT móng đá 1x2 M250</t>
        </is>
      </c>
      <c r="C5" s="6" t="inlineStr">
        <is>
          <t>m³</t>
        </is>
      </c>
      <c r="D5" s="32">
        <v>48.3</v>
      </c>
    </row>
    <row r="6">
      <c r="A6" s="6">
        <v>3</v>
      </c>
      <c r="B6" s="4" t="inlineStr">
        <is>
          <t>BTCT cột tầng 1 đá 1x2 M300</t>
        </is>
      </c>
      <c r="C6" s="6" t="inlineStr">
        <is>
          <t>m³</t>
        </is>
      </c>
      <c r="D6" s="32">
        <v>18.7</v>
      </c>
    </row>
    <row r="7">
      <c r="A7" s="6">
        <v>4</v>
      </c>
      <c r="B7" s="4" t="inlineStr">
        <is>
          <t>BTCT dầm sàn tầng 2 đá 1x2 M300</t>
        </is>
      </c>
      <c r="C7" s="6" t="inlineStr">
        <is>
          <t>m³</t>
        </is>
      </c>
      <c r="D7" s="32">
        <v>96.4</v>
      </c>
    </row>
    <row r="8">
      <c r="A8" s="6">
        <v>5</v>
      </c>
      <c r="B8" s="4" t="inlineStr">
        <is>
          <t>Ván khuôn cột tầng 1</t>
        </is>
      </c>
      <c r="C8" s="6" t="inlineStr">
        <is>
          <t>m²</t>
        </is>
      </c>
      <c r="D8" s="32">
        <v>210.5</v>
      </c>
    </row>
    <row r="9">
      <c r="A9" s="6">
        <v>6</v>
      </c>
      <c r="B9" s="4" t="inlineStr">
        <is>
          <t>Cốt thép cột tầng 1, D≤18</t>
        </is>
      </c>
      <c r="C9" s="6" t="inlineStr">
        <is>
          <t>tấn</t>
        </is>
      </c>
      <c r="D9" s="11">
        <v>3.85</v>
      </c>
    </row>
  </sheetData>
  <hyperlinks>
    <hyperlink ref="F1" location="'Mục lục'!A102" display="← Mục lục"/>
  </hyperlink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F8"/>
  <sheetViews>
    <sheetView workbookViewId="0">
      <selection activeCell="A1" sqref="A1:D8"/>
    </sheetView>
  </sheetViews>
  <sheetFormatPr defaultRowHeight="15"/>
  <cols>
    <col min="1" max="1" width="8.00" customWidth="1"/>
    <col min="2" max="2" width="32.00" customWidth="1"/>
    <col min="3" max="3" width="7.00" customWidth="1"/>
    <col min="4" max="4" width="11.00" customWidth="1"/>
    <col min="6" max="6" width="12.00" customWidth="1"/>
  </cols>
  <sheetData>
    <row r="1">
      <c r="A1" s="3" t="inlineStr">
        <is>
          <t>Mã VT</t>
        </is>
      </c>
      <c r="B1" s="3" t="inlineStr">
        <is>
          <t>Tên vật tư</t>
        </is>
      </c>
      <c r="C1" s="3" t="inlineStr">
        <is>
          <t>ĐVT</t>
        </is>
      </c>
      <c r="D1" s="3" t="inlineStr">
        <is>
          <t>Số lượng</t>
        </is>
      </c>
      <c r="F1" s="105" t="inlineStr">
        <is>
          <t>← Mục lục</t>
        </is>
      </c>
    </row>
    <row r="2">
      <c r="A2" s="4" t="inlineStr">
        <is>
          <t>VT01</t>
        </is>
      </c>
      <c r="B2" s="4" t="inlineStr">
        <is>
          <t xml:space="preserve">   xi măng PCB40</t>
        </is>
      </c>
      <c r="C2" s="6" t="inlineStr">
        <is>
          <t>kg</t>
        </is>
      </c>
      <c r="D2" s="33">
        <v>18000</v>
      </c>
    </row>
    <row r="3">
      <c r="A3" s="4" t="inlineStr">
        <is>
          <t>VT02</t>
        </is>
      </c>
      <c r="B3" s="4" t="inlineStr">
        <is>
          <t>THÉP CB400-V    D16</t>
        </is>
      </c>
      <c r="C3" s="6" t="inlineStr">
        <is>
          <t>kg</t>
        </is>
      </c>
      <c r="D3" s="33">
        <v>4520</v>
      </c>
    </row>
    <row r="4">
      <c r="A4" s="4" t="inlineStr">
        <is>
          <t>VT03</t>
        </is>
      </c>
      <c r="B4" s="4" t="inlineStr">
        <is>
          <t>cát vàng    xây trát</t>
        </is>
      </c>
      <c r="C4" s="6" t="inlineStr">
        <is>
          <t>m3</t>
        </is>
      </c>
      <c r="D4" s="4">
        <v>42</v>
      </c>
    </row>
    <row r="5">
      <c r="A5" s="4" t="inlineStr">
        <is>
          <t>VT01</t>
        </is>
      </c>
      <c r="B5" s="4" t="inlineStr">
        <is>
          <t>Xi măng PCB40</t>
        </is>
      </c>
      <c r="C5" s="6" t="inlineStr">
        <is>
          <t>kg</t>
        </is>
      </c>
      <c r="D5" s="33">
        <v>18000</v>
      </c>
    </row>
    <row r="6">
      <c r="A6" s="4" t="inlineStr">
        <is>
          <t>VT04</t>
        </is>
      </c>
      <c r="B6" s="4" t="inlineStr">
        <is>
          <t>gạch ốp lát 600x600</t>
        </is>
      </c>
      <c r="C6" s="6" t="inlineStr">
        <is>
          <t>m2</t>
        </is>
      </c>
      <c r="D6" s="4">
        <v>350</v>
      </c>
    </row>
    <row r="7">
      <c r="A7" s="4" t="inlineStr">
        <is>
          <t>VT03</t>
        </is>
      </c>
      <c r="B7" s="4" t="inlineStr">
        <is>
          <t>Cát vàng xây trát</t>
        </is>
      </c>
      <c r="C7" s="6" t="inlineStr">
        <is>
          <t>m3</t>
        </is>
      </c>
      <c r="D7" s="4">
        <v>42</v>
      </c>
    </row>
    <row r="8">
      <c r="A8" s="4" t="inlineStr">
        <is>
          <t>VT05</t>
        </is>
      </c>
      <c r="B8" s="4" t="inlineStr">
        <is>
          <t>Đá dăm 1x2</t>
        </is>
      </c>
      <c r="C8" s="6" t="inlineStr">
        <is>
          <t>m3</t>
        </is>
      </c>
      <c r="D8" s="4">
        <v>65</v>
      </c>
    </row>
  </sheetData>
  <hyperlinks>
    <hyperlink ref="F1" location="'Mục lục'!A103" display="← Mục lục"/>
  </hyperlink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F7"/>
  <sheetViews>
    <sheetView workbookViewId="0">
      <selection activeCell="A1" sqref="A1:D7"/>
    </sheetView>
  </sheetViews>
  <sheetFormatPr defaultRowHeight="15"/>
  <cols>
    <col min="1" max="1" width="5.00" customWidth="1"/>
    <col min="2" max="2" width="34.00" customWidth="1"/>
    <col min="3" max="3" width="7.00" customWidth="1"/>
    <col min="4" max="4" width="12.00" customWidth="1"/>
    <col min="6" max="6" width="12.00" customWidth="1"/>
  </cols>
  <sheetData>
    <row r="1">
      <c r="A1" s="1" t="inlineStr">
        <is>
          <t>BAÛNG KHOÁI LÖÔÏNG PHAÀN MOÙNG</t>
        </is>
      </c>
      <c r="F1" s="105" t="inlineStr">
        <is>
          <t>← Mục lục</t>
        </is>
      </c>
    </row>
    <row r="3">
      <c r="A3" s="3" t="inlineStr">
        <is>
          <t>TT</t>
        </is>
      </c>
      <c r="B3" s="3" t="inlineStr">
        <is>
          <t>Noäi dung coâng vieäc</t>
        </is>
      </c>
      <c r="C3" s="3" t="inlineStr">
        <is>
          <t>ÑVT</t>
        </is>
      </c>
      <c r="D3" s="3" t="inlineStr">
        <is>
          <t>Khoái löôïng</t>
        </is>
      </c>
    </row>
    <row r="4">
      <c r="A4" s="6">
        <v>1</v>
      </c>
      <c r="B4" s="4" t="inlineStr">
        <is>
          <t>Coâng taùc beâ toâng loùt M100</t>
        </is>
      </c>
      <c r="C4" s="6" t="inlineStr">
        <is>
          <t>m3</t>
        </is>
      </c>
      <c r="D4" s="32">
        <v>12.6</v>
      </c>
    </row>
    <row r="5">
      <c r="A5" s="6">
        <v>2</v>
      </c>
      <c r="B5" s="4" t="inlineStr">
        <is>
          <t>Coát theùp moùng D&lt;=18</t>
        </is>
      </c>
      <c r="C5" s="6" t="inlineStr">
        <is>
          <t>taán</t>
        </is>
      </c>
      <c r="D5" s="11">
        <v>4.85</v>
      </c>
    </row>
    <row r="6">
      <c r="A6" s="6">
        <v>3</v>
      </c>
      <c r="B6" s="4" t="inlineStr">
        <is>
          <t>Vaùn khuoân moùng</t>
        </is>
      </c>
      <c r="C6" s="6" t="inlineStr">
        <is>
          <t>m2</t>
        </is>
      </c>
      <c r="D6" s="32">
        <v>86.4</v>
      </c>
    </row>
    <row r="7">
      <c r="A7" s="6">
        <v>4</v>
      </c>
      <c r="B7" s="4" t="inlineStr">
        <is>
          <t>Beâ toâng moùng M250</t>
        </is>
      </c>
      <c r="C7" s="6" t="inlineStr">
        <is>
          <t>m3</t>
        </is>
      </c>
      <c r="D7" s="32">
        <v>48.3</v>
      </c>
    </row>
  </sheetData>
  <hyperlinks>
    <hyperlink ref="F1" location="'Mục lục'!A104" display="← Mục lục"/>
  </hyperlink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F5"/>
  <sheetViews>
    <sheetView workbookViewId="0">
      <selection activeCell="A1" sqref="A1:D5"/>
    </sheetView>
  </sheetViews>
  <sheetFormatPr defaultRowHeight="15"/>
  <cols>
    <col min="1" max="1" width="5.00" customWidth="1"/>
    <col min="2" max="2" width="34.00" customWidth="1"/>
    <col min="3" max="3" width="7.00" customWidth="1"/>
    <col min="4" max="4" width="11.00" customWidth="1"/>
    <col min="6" max="6" width="12.00" customWidth="1"/>
  </cols>
  <sheetData>
    <row r="1">
      <c r="A1" s="3" t="inlineStr">
        <is>
          <t>TT</t>
        </is>
      </c>
      <c r="B1" s="3" t="inlineStr">
        <is>
          <t>Néi dung c«ng viÖc</t>
        </is>
      </c>
      <c r="C1" s="3" t="inlineStr">
        <is>
          <t>§VT</t>
        </is>
      </c>
      <c r="D1" s="3" t="inlineStr">
        <is>
          <t>KL</t>
        </is>
      </c>
      <c r="F1" s="105" t="inlineStr">
        <is>
          <t>← Mục lục</t>
        </is>
      </c>
    </row>
    <row r="2">
      <c r="A2" s="6">
        <v>1</v>
      </c>
      <c r="B2" s="4" t="inlineStr">
        <is>
          <t>C«ng t¸c bª t«ng lãt M100</t>
        </is>
      </c>
      <c r="C2" s="6" t="inlineStr">
        <is>
          <t>m3</t>
        </is>
      </c>
      <c r="D2" s="32">
        <v>12.6</v>
      </c>
    </row>
    <row r="3">
      <c r="A3" s="6">
        <v>2</v>
      </c>
      <c r="B3" s="4" t="inlineStr">
        <is>
          <t>Cèt thÐp dÇm sµn D&lt;=10</t>
        </is>
      </c>
      <c r="C3" s="6" t="inlineStr">
        <is>
          <t>kg</t>
        </is>
      </c>
      <c r="D3" s="33">
        <v>1250</v>
      </c>
    </row>
    <row r="4">
      <c r="A4" s="6">
        <v>3</v>
      </c>
      <c r="B4" s="4" t="inlineStr">
        <is>
          <t>V¸n khu«n cét vu«ng</t>
        </is>
      </c>
      <c r="C4" s="6" t="inlineStr">
        <is>
          <t>m2</t>
        </is>
      </c>
      <c r="D4" s="32">
        <v>86.4</v>
      </c>
    </row>
    <row r="5">
      <c r="A5" s="6">
        <v>4</v>
      </c>
      <c r="B5" s="4" t="inlineStr">
        <is>
          <t>Bª t«ng cét M300</t>
        </is>
      </c>
      <c r="C5" s="6" t="inlineStr">
        <is>
          <t>m3</t>
        </is>
      </c>
      <c r="D5" s="32">
        <v>18.7</v>
      </c>
    </row>
  </sheetData>
  <hyperlinks>
    <hyperlink ref="F1" location="'Mục lục'!A105" display="← Mục lục"/>
  </hyperlink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F5"/>
  <sheetViews>
    <sheetView workbookViewId="0">
      <selection activeCell="B2" sqref="B2:B5"/>
    </sheetView>
  </sheetViews>
  <sheetFormatPr defaultRowHeight="15"/>
  <cols>
    <col min="1" max="1" width="5.00" customWidth="1"/>
    <col min="2" max="2" width="34.00" customWidth="1"/>
    <col min="3" max="3" width="7.00" customWidth="1"/>
    <col min="4" max="4" width="11.00" customWidth="1"/>
    <col min="6" max="6" width="12.00" customWidth="1"/>
  </cols>
  <sheetData>
    <row r="1">
      <c r="A1" s="3" t="inlineStr">
        <is>
          <t>TT</t>
        </is>
      </c>
      <c r="B1" s="3" t="inlineStr">
        <is>
          <t>Nội dung công việc</t>
        </is>
      </c>
      <c r="C1" s="3" t="inlineStr">
        <is>
          <t>ĐVT</t>
        </is>
      </c>
      <c r="D1" s="3" t="inlineStr">
        <is>
          <t>Khối lượng</t>
        </is>
      </c>
      <c r="F1" s="105" t="inlineStr">
        <is>
          <t>← Mục lục</t>
        </is>
      </c>
    </row>
    <row r="2">
      <c r="A2" s="6">
        <v>1</v>
      </c>
      <c r="B2" s="4" t="inlineStr">
        <is>
          <t>Bê tông móng đá 1x2 M250</t>
        </is>
      </c>
      <c r="C2" s="6" t="inlineStr">
        <is>
          <t>m3</t>
        </is>
      </c>
      <c r="D2" s="32">
        <v>48.3</v>
      </c>
    </row>
    <row r="3">
      <c r="A3" s="6">
        <v>2</v>
      </c>
      <c r="B3" s="4" t="inlineStr">
        <is>
          <t>Ván khuôn cột, vách</t>
        </is>
      </c>
      <c r="C3" s="6" t="inlineStr">
        <is>
          <t>m2</t>
        </is>
      </c>
      <c r="D3" s="32">
        <v>210.5</v>
      </c>
    </row>
    <row r="4">
      <c r="A4" s="6">
        <v>3</v>
      </c>
      <c r="B4" s="4" t="inlineStr">
        <is>
          <t>Thép tròn D18 trở lên</t>
        </is>
      </c>
      <c r="C4" s="6" t="inlineStr">
        <is>
          <t>tấn</t>
        </is>
      </c>
      <c r="D4" s="11">
        <v>3.85</v>
      </c>
    </row>
    <row r="5">
      <c r="A5" s="6">
        <v>4</v>
      </c>
      <c r="B5" s="4" t="inlineStr">
        <is>
          <t>Xây tường gạch ống dày 200</t>
        </is>
      </c>
      <c r="C5" s="6" t="inlineStr">
        <is>
          <t>m3</t>
        </is>
      </c>
      <c r="D5" s="32">
        <v>26.4</v>
      </c>
    </row>
  </sheetData>
  <hyperlinks>
    <hyperlink ref="F1" location="'Mục lục'!A106" display="← Mục lục"/>
  </hyperlink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F5"/>
  <sheetViews>
    <sheetView workbookViewId="0">
      <selection activeCell="B2" sqref="B2:B5"/>
    </sheetView>
  </sheetViews>
  <sheetFormatPr defaultRowHeight="15"/>
  <cols>
    <col min="1" max="1" width="5.00" customWidth="1"/>
    <col min="2" max="2" width="34.00" customWidth="1"/>
    <col min="3" max="3" width="7.00" customWidth="1"/>
    <col min="4" max="4" width="11.00" customWidth="1"/>
    <col min="6" max="6" width="12.00" customWidth="1"/>
  </cols>
  <sheetData>
    <row r="1">
      <c r="A1" s="3" t="inlineStr">
        <is>
          <t>TT</t>
        </is>
      </c>
      <c r="B1" s="3" t="inlineStr">
        <is>
          <t>Nội dung công việc</t>
        </is>
      </c>
      <c r="C1" s="3" t="inlineStr">
        <is>
          <t>ĐVT</t>
        </is>
      </c>
      <c r="D1" s="3" t="inlineStr">
        <is>
          <t>Khối lượng</t>
        </is>
      </c>
      <c r="F1" s="105" t="inlineStr">
        <is>
          <t>← Mục lục</t>
        </is>
      </c>
    </row>
    <row r="2">
      <c r="A2" s="6">
        <v>1</v>
      </c>
      <c r="B2" s="4" t="inlineStr">
        <is>
          <t>Đào móng bằng thủ công</t>
        </is>
      </c>
      <c r="C2" s="6" t="inlineStr">
        <is>
          <t>m3</t>
        </is>
      </c>
      <c r="D2" s="32">
        <v>35.2</v>
      </c>
    </row>
    <row r="3">
      <c r="A3" s="6">
        <v>2</v>
      </c>
      <c r="B3" s="4" t="inlineStr">
        <is>
          <t>Lắp dựng cốt thép cột</t>
        </is>
      </c>
      <c r="C3" s="6" t="inlineStr">
        <is>
          <t>tấn</t>
        </is>
      </c>
      <c r="D3" s="11">
        <v>2.15</v>
      </c>
    </row>
    <row r="4">
      <c r="A4" s="6">
        <v>3</v>
      </c>
      <c r="B4" s="4" t="inlineStr">
        <is>
          <t>Ván khuôn dầm, sàn</t>
        </is>
      </c>
      <c r="C4" s="6" t="inlineStr">
        <is>
          <t>m2</t>
        </is>
      </c>
      <c r="D4" s="32">
        <v>320</v>
      </c>
    </row>
    <row r="5">
      <c r="A5" s="6">
        <v>4</v>
      </c>
      <c r="B5" s="4" t="inlineStr">
        <is>
          <t>Đổ bê tông sàn M250</t>
        </is>
      </c>
      <c r="C5" s="6" t="inlineStr">
        <is>
          <t>m3</t>
        </is>
      </c>
      <c r="D5" s="32">
        <v>64.8</v>
      </c>
    </row>
  </sheetData>
  <hyperlinks>
    <hyperlink ref="F1" location="'Mục lục'!A107" display="← Mục lục"/>
  </hyperlink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F7"/>
  <sheetViews>
    <sheetView workbookViewId="0">
      <selection activeCell="B4" sqref="B4:B7"/>
    </sheetView>
  </sheetViews>
  <sheetFormatPr defaultRowHeight="15"/>
  <cols>
    <col min="1" max="1" width="5.00" customWidth="1"/>
    <col min="2" max="2" width="38.00" customWidth="1"/>
    <col min="3" max="3" width="9.00" customWidth="1"/>
    <col min="4" max="4" width="9.00" customWidth="1"/>
    <col min="6" max="6" width="12.00" customWidth="1"/>
  </cols>
  <sheetData>
    <row r="1">
      <c r="A1" s="1" t="inlineStr">
        <is>
          <t>BILL OF QUANTITIES — FOUNDATIONS</t>
        </is>
      </c>
      <c r="F1" s="105" t="inlineStr">
        <is>
          <t>← Mục lục</t>
        </is>
      </c>
    </row>
    <row r="3">
      <c r="A3" s="3" t="inlineStr">
        <is>
          <t>Item</t>
        </is>
      </c>
      <c r="B3" s="3" t="inlineStr">
        <is>
          <t>Description</t>
        </is>
      </c>
      <c r="C3" s="3" t="inlineStr">
        <is>
          <t>Unit</t>
        </is>
      </c>
      <c r="D3" s="3" t="inlineStr">
        <is>
          <t>Qty</t>
        </is>
      </c>
    </row>
    <row r="4">
      <c r="A4" s="6">
        <v>1</v>
      </c>
      <c r="B4" s="4" t="inlineStr">
        <is>
          <t>Lean concrete grade C10, 100 mm thick</t>
        </is>
      </c>
      <c r="C4" s="6" t="inlineStr">
        <is>
          <t>m³</t>
        </is>
      </c>
      <c r="D4" s="32">
        <v>12.6</v>
      </c>
    </row>
    <row r="5">
      <c r="A5" s="6">
        <v>2</v>
      </c>
      <c r="B5" s="4" t="inlineStr">
        <is>
          <t>Reinforced concrete pile caps, C30</t>
        </is>
      </c>
      <c r="C5" s="6" t="inlineStr">
        <is>
          <t>m³</t>
        </is>
      </c>
      <c r="D5" s="32">
        <v>48.3</v>
      </c>
    </row>
    <row r="6">
      <c r="A6" s="6">
        <v>3</v>
      </c>
      <c r="B6" s="4" t="inlineStr">
        <is>
          <t>Formwork to ground beams</t>
        </is>
      </c>
      <c r="C6" s="6" t="inlineStr">
        <is>
          <t>m²</t>
        </is>
      </c>
      <c r="D6" s="32">
        <v>210.5</v>
      </c>
    </row>
    <row r="7">
      <c r="A7" s="6">
        <v>4</v>
      </c>
      <c r="B7" s="4" t="inlineStr">
        <is>
          <t>Deformed bars CB400-V, D16–D25</t>
        </is>
      </c>
      <c r="C7" s="6" t="inlineStr">
        <is>
          <t>t</t>
        </is>
      </c>
      <c r="D7" s="11">
        <v>3.85</v>
      </c>
    </row>
  </sheetData>
  <hyperlinks>
    <hyperlink ref="F1" location="'Mục lục'!A108" display="← Mục lục"/>
  </hyperlink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E10"/>
  <sheetViews>
    <sheetView workbookViewId="0">
      <selection activeCell="C10" sqref="C10"/>
    </sheetView>
  </sheetViews>
  <sheetFormatPr defaultRowHeight="15"/>
  <cols>
    <col min="1" max="1" width="11.00" customWidth="1"/>
    <col min="2" max="2" width="16.00" customWidth="1"/>
    <col min="3" max="3" width="32.00" customWidth="1"/>
    <col min="5" max="5" width="12.00" customWidth="1"/>
  </cols>
  <sheetData>
    <row r="1">
      <c r="A1" s="1" t="inlineStr">
        <is>
          <t>NHẬT KÝ THI CÔNG — NHÀ VĂN PHÒNG 9 TẦNG</t>
        </is>
      </c>
      <c r="E1" s="105" t="inlineStr">
        <is>
          <t>← Mục lục</t>
        </is>
      </c>
    </row>
    <row r="3">
      <c r="A3" s="3" t="inlineStr">
        <is>
          <t>Ngày</t>
        </is>
      </c>
      <c r="B3" s="3" t="inlineStr">
        <is>
          <t>Tổ đội</t>
        </is>
      </c>
      <c r="C3" s="3" t="inlineStr">
        <is>
          <t>Hạng mục</t>
        </is>
      </c>
    </row>
    <row r="4">
      <c r="A4" s="5">
        <v>46300</v>
      </c>
      <c r="B4" s="4" t="inlineStr">
        <is>
          <t>Tổ bê tông 1</t>
        </is>
      </c>
      <c r="C4" s="4" t="inlineStr">
        <is>
          <t>Bê tông sàn tầng 3</t>
        </is>
      </c>
    </row>
    <row r="5">
      <c r="A5" s="5">
        <v>46300</v>
      </c>
      <c r="B5" s="4" t="inlineStr">
        <is>
          <t>Tổ cốt thép</t>
        </is>
      </c>
      <c r="C5" s="4" t="inlineStr">
        <is>
          <t>Lắp dựng cốt thép cột</t>
        </is>
      </c>
    </row>
    <row r="6">
      <c r="A6" s="5">
        <v>46301</v>
      </c>
      <c r="B6" s="4" t="inlineStr">
        <is>
          <t>Tổ nề 2</t>
        </is>
      </c>
      <c r="C6" s="4" t="inlineStr">
        <is>
          <t>Xây tường trục A</t>
        </is>
      </c>
    </row>
    <row r="7">
      <c r="A7" s="5">
        <v>46301</v>
      </c>
      <c r="B7" s="4" t="inlineStr">
        <is>
          <t>Tổ cốp pha</t>
        </is>
      </c>
      <c r="C7" s="4" t="inlineStr">
        <is>
          <t>Ván khuôn dầm sàn tầng 4</t>
        </is>
      </c>
    </row>
    <row r="8">
      <c r="A8" s="5">
        <v>46302</v>
      </c>
      <c r="B8" s="4" t="inlineStr">
        <is>
          <t>Tổ cốt thép</t>
        </is>
      </c>
      <c r="C8" s="4" t="inlineStr">
        <is>
          <t>Lắp dựng cốt thép cột</t>
        </is>
      </c>
    </row>
    <row r="9">
      <c r="A9" s="5">
        <v>46302</v>
      </c>
      <c r="B9" s="4" t="inlineStr">
        <is>
          <t>Tổ bê tông 1</t>
        </is>
      </c>
      <c r="C9" s="4" t="inlineStr">
        <is>
          <t>Đổ bê tông cột tầng 4</t>
        </is>
      </c>
    </row>
    <row r="10">
      <c r="A10" s="5">
        <v>46303</v>
      </c>
      <c r="B10" s="4"/>
      <c r="C10" s="4"/>
    </row>
  </sheetData>
  <hyperlinks>
    <hyperlink ref="E1" location="'Mục lục'!A109" display="← Mục lục"/>
  </hyperlink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H8"/>
  <sheetViews>
    <sheetView workbookViewId="0">
      <selection activeCell="C7" sqref="C7"/>
    </sheetView>
  </sheetViews>
  <sheetFormatPr defaultRowHeight="15"/>
  <cols>
    <col min="1" max="1" width="5.00" customWidth="1"/>
    <col min="2" max="2" width="9.00" customWidth="1"/>
    <col min="3" max="3" width="26.00" customWidth="1"/>
    <col min="4" max="4" width="7.00" customWidth="1"/>
    <col min="5" max="5" width="11.00" customWidth="1"/>
    <col min="6" max="6" width="11.00" customWidth="1"/>
    <col min="8" max="8" width="12.00" customWidth="1"/>
  </cols>
  <sheetData>
    <row r="1">
      <c r="H1" s="105" t="inlineStr">
        <is>
          <t>← Mục lục</t>
        </is>
      </c>
    </row>
    <row r="2">
      <c r="A2" s="1" t="inlineStr">
        <is>
          <t>BẢNG KHỐI LƯỢNG VẬT TƯ — NHÀ VĂN PHÒNG 9 TẦNG</t>
        </is>
      </c>
    </row>
    <row r="4">
      <c r="A4" s="3" t="inlineStr">
        <is>
          <t>TT</t>
        </is>
      </c>
      <c r="B4" s="3" t="inlineStr">
        <is>
          <t>Mã VT</t>
        </is>
      </c>
      <c r="C4" s="3" t="inlineStr">
        <is>
          <t>Tên vật tư</t>
        </is>
      </c>
      <c r="D4" s="3" t="inlineStr">
        <is>
          <t>ĐVT</t>
        </is>
      </c>
      <c r="E4" s="3" t="inlineStr">
        <is>
          <t>Đơn giá</t>
        </is>
      </c>
      <c r="F4" s="3" t="inlineStr">
        <is>
          <t>Khối lượng</t>
        </is>
      </c>
    </row>
    <row r="5">
      <c r="A5" s="6">
        <v>1</v>
      </c>
      <c r="B5" s="4" t="inlineStr">
        <is>
          <t>XM01</t>
        </is>
      </c>
      <c r="C5" s="4" t="inlineStr">
        <is>
          <t>Xi măng PCB40</t>
        </is>
      </c>
      <c r="D5" s="6" t="inlineStr">
        <is>
          <t>kg</t>
        </is>
      </c>
      <c r="E5" s="33">
        <v>1650</v>
      </c>
      <c r="F5" s="33">
        <v>18000</v>
      </c>
    </row>
    <row r="6">
      <c r="A6" s="6">
        <v>2</v>
      </c>
      <c r="B6" s="4" t="inlineStr">
        <is>
          <t>TH16</t>
        </is>
      </c>
      <c r="C6" s="4" t="inlineStr">
        <is>
          <t>Thép CB400-V D16</t>
        </is>
      </c>
      <c r="D6" s="6" t="inlineStr">
        <is>
          <t>kg</t>
        </is>
      </c>
      <c r="E6" s="33">
        <v>15200</v>
      </c>
      <c r="F6" s="33">
        <v>4520</v>
      </c>
    </row>
    <row r="7">
      <c r="A7" s="6">
        <v>3</v>
      </c>
      <c r="B7" s="4"/>
      <c r="C7" s="4"/>
      <c r="D7" s="4"/>
      <c r="E7" s="4"/>
      <c r="F7" s="4"/>
    </row>
    <row r="8">
      <c r="A8" s="6">
        <v>4</v>
      </c>
      <c r="B8" s="4"/>
      <c r="C8" s="4"/>
      <c r="D8" s="4"/>
      <c r="E8" s="4"/>
      <c r="F8" s="4"/>
    </row>
  </sheetData>
  <hyperlinks>
    <hyperlink ref="H1" location="'Mục lục'!A110" display="← Mục lục"/>
  </hyperlink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F8"/>
  <sheetViews>
    <sheetView workbookViewId="0">
      <selection activeCell="A1" sqref="A1:D8"/>
    </sheetView>
  </sheetViews>
  <sheetFormatPr defaultRowHeight="15"/>
  <cols>
    <col min="1" max="1" width="9.00" customWidth="1"/>
    <col min="2" max="2" width="28.00" customWidth="1"/>
    <col min="3" max="3" width="7.00" customWidth="1"/>
    <col min="4" max="4" width="12.00" customWidth="1"/>
    <col min="6" max="6" width="12.00" customWidth="1"/>
  </cols>
  <sheetData>
    <row r="1">
      <c r="A1" s="3" t="inlineStr">
        <is>
          <t>Mã VT</t>
        </is>
      </c>
      <c r="B1" s="3" t="inlineStr">
        <is>
          <t>Tên vật tư</t>
        </is>
      </c>
      <c r="C1" s="3" t="inlineStr">
        <is>
          <t>ĐVT</t>
        </is>
      </c>
      <c r="D1" s="3" t="inlineStr">
        <is>
          <t>Đơn giá</t>
        </is>
      </c>
      <c r="F1" s="105" t="inlineStr">
        <is>
          <t>← Mục lục</t>
        </is>
      </c>
    </row>
    <row r="2">
      <c r="A2" s="4" t="inlineStr">
        <is>
          <t>XM01</t>
        </is>
      </c>
      <c r="B2" s="4" t="inlineStr">
        <is>
          <t>Xi măng PCB40</t>
        </is>
      </c>
      <c r="C2" s="6" t="inlineStr">
        <is>
          <t>kg</t>
        </is>
      </c>
      <c r="D2" s="33">
        <v>1650</v>
      </c>
    </row>
    <row r="3">
      <c r="A3" s="4" t="inlineStr">
        <is>
          <t>XM02</t>
        </is>
      </c>
      <c r="B3" s="4" t="inlineStr">
        <is>
          <t>Xi măng PCB30</t>
        </is>
      </c>
      <c r="C3" s="6" t="inlineStr">
        <is>
          <t>kg</t>
        </is>
      </c>
      <c r="D3" s="33">
        <v>1450</v>
      </c>
    </row>
    <row r="4">
      <c r="A4" s="4" t="inlineStr">
        <is>
          <t>TH16</t>
        </is>
      </c>
      <c r="B4" s="4" t="inlineStr">
        <is>
          <t>Thép CB400-V D16</t>
        </is>
      </c>
      <c r="C4" s="6" t="inlineStr">
        <is>
          <t>kg</t>
        </is>
      </c>
      <c r="D4" s="33">
        <v>15200</v>
      </c>
    </row>
    <row r="5">
      <c r="A5" s="4" t="inlineStr">
        <is>
          <t>CV01</t>
        </is>
      </c>
      <c r="B5" s="4" t="inlineStr">
        <is>
          <t>Cát vàng xây trát</t>
        </is>
      </c>
      <c r="C5" s="6" t="inlineStr">
        <is>
          <t>m3</t>
        </is>
      </c>
      <c r="D5" s="33">
        <v>320000</v>
      </c>
    </row>
    <row r="6">
      <c r="A6" s="4" t="inlineStr">
        <is>
          <t>DA12</t>
        </is>
      </c>
      <c r="B6" s="4" t="inlineStr">
        <is>
          <t>Đá dăm 1x2</t>
        </is>
      </c>
      <c r="C6" s="6" t="inlineStr">
        <is>
          <t>m3</t>
        </is>
      </c>
      <c r="D6" s="33">
        <v>410000</v>
      </c>
    </row>
    <row r="7">
      <c r="A7" s="4" t="inlineStr">
        <is>
          <t>GO60</t>
        </is>
      </c>
      <c r="B7" s="4" t="inlineStr">
        <is>
          <t>Gạch ốp lát 600x600</t>
        </is>
      </c>
      <c r="C7" s="6" t="inlineStr">
        <is>
          <t>m2</t>
        </is>
      </c>
      <c r="D7" s="33">
        <v>185000</v>
      </c>
    </row>
    <row r="8">
      <c r="A8" s="4" t="inlineStr">
        <is>
          <t>GR02</t>
        </is>
      </c>
      <c r="B8" s="4" t="inlineStr">
        <is>
          <t>Gạch rỗng 2 lỗ tuynel</t>
        </is>
      </c>
      <c r="C8" s="6" t="inlineStr">
        <is>
          <t>viên</t>
        </is>
      </c>
      <c r="D8" s="33">
        <v>1250</v>
      </c>
    </row>
  </sheetData>
  <hyperlinks>
    <hyperlink ref="F1" location="'Mục lục'!A111" display="← Mục lục"/>
  </hyperlink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F9"/>
  <sheetViews>
    <sheetView workbookViewId="0">
      <selection activeCell="B6" sqref="B6"/>
    </sheetView>
  </sheetViews>
  <sheetFormatPr defaultRowHeight="15"/>
  <cols>
    <col min="1" max="1" width="5.00" customWidth="1"/>
    <col min="2" max="2" width="36.00" customWidth="1"/>
    <col min="3" max="3" width="7.00" customWidth="1"/>
    <col min="4" max="4" width="11.00" customWidth="1"/>
    <col min="6" max="6" width="12.00" customWidth="1"/>
  </cols>
  <sheetData>
    <row r="1">
      <c r="A1" s="1" t="inlineStr">
        <is>
          <t>BẢNG KHỐI LƯỢNG PHẦN THÂN — NHÀ VĂN PHÒNG 9 TẦNG</t>
        </is>
      </c>
      <c r="F1" s="105" t="inlineStr">
        <is>
          <t>← Mục lục</t>
        </is>
      </c>
    </row>
    <row r="3">
      <c r="A3" s="3" t="inlineStr">
        <is>
          <t>TT</t>
        </is>
      </c>
      <c r="B3" s="3" t="inlineStr">
        <is>
          <t>Nội dung công việc</t>
        </is>
      </c>
      <c r="C3" s="3" t="inlineStr">
        <is>
          <t>ĐVT</t>
        </is>
      </c>
      <c r="D3" s="3" t="inlineStr">
        <is>
          <t>Khối lượng</t>
        </is>
      </c>
    </row>
    <row r="4">
      <c r="A4" s="6">
        <v>1</v>
      </c>
      <c r="B4" s="4" t="inlineStr">
        <is>
          <t>Bê tông cột tầng 3, M300</t>
        </is>
      </c>
      <c r="C4" s="6" t="inlineStr">
        <is>
          <t>m³</t>
        </is>
      </c>
      <c r="D4" s="11">
        <v>18.2</v>
      </c>
    </row>
    <row r="5">
      <c r="A5" s="6">
        <v>2</v>
      </c>
      <c r="B5" s="4" t="inlineStr">
        <is>
          <t>Bê tông dầm sàn tầng 3, M300</t>
        </is>
      </c>
      <c r="C5" s="6" t="inlineStr">
        <is>
          <t>m³</t>
        </is>
      </c>
      <c r="D5" s="11">
        <v>64.5</v>
      </c>
    </row>
    <row r="6">
      <c r="A6" s="6">
        <v>3</v>
      </c>
      <c r="B6" s="4" t="inlineStr">
        <is>
          <t>Cốt thép cột tầng 3, CB400-V</t>
        </is>
      </c>
      <c r="C6" s="6" t="inlineStr">
        <is>
          <t>tấn</t>
        </is>
      </c>
      <c r="D6" s="11">
        <v>3.85</v>
      </c>
    </row>
    <row r="7">
      <c r="A7" s="6">
        <v>4</v>
      </c>
      <c r="B7" s="4" t="inlineStr">
        <is>
          <t>Cốt thép dầm sàn tầng 3, CB400-V</t>
        </is>
      </c>
      <c r="C7" s="6" t="inlineStr">
        <is>
          <t>tấn</t>
        </is>
      </c>
      <c r="D7" s="11">
        <v>9.12</v>
      </c>
    </row>
    <row r="8">
      <c r="A8" s="6">
        <v>5</v>
      </c>
      <c r="B8" s="4" t="inlineStr">
        <is>
          <t>Ván khuôn cột tầng 3</t>
        </is>
      </c>
      <c r="C8" s="6" t="inlineStr">
        <is>
          <t>m²</t>
        </is>
      </c>
      <c r="D8" s="32">
        <v>142</v>
      </c>
    </row>
    <row r="9">
      <c r="A9" s="6">
        <v>6</v>
      </c>
      <c r="B9" s="4" t="inlineStr">
        <is>
          <t>Ván khuôn dầm sàn tầng 3</t>
        </is>
      </c>
      <c r="C9" s="6" t="inlineStr">
        <is>
          <t>m²</t>
        </is>
      </c>
      <c r="D9" s="32">
        <v>516</v>
      </c>
    </row>
  </sheetData>
  <hyperlinks>
    <hyperlink ref="F1" location="'Mục lục'!A112" display="← Mục lục"/>
  </hyperlink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F8"/>
  <sheetViews>
    <sheetView workbookViewId="0">
      <selection activeCell="D3" sqref="D3"/>
    </sheetView>
  </sheetViews>
  <sheetFormatPr defaultRowHeight="15"/>
  <cols>
    <col min="1" max="1" width="5.00" customWidth="1"/>
    <col min="2" max="2" width="30.00" customWidth="1"/>
    <col min="4" max="4" width="12.00" customWidth="1"/>
    <col min="6" max="6" width="12.00" customWidth="1"/>
  </cols>
  <sheetData>
    <row r="1">
      <c r="A1" s="1" t="inlineStr">
        <is>
          <t>THEO DÕI KHỐI LƯỢNG NGHIỆM THU — NHÀ VĂN PHÒNG 9 TẦNG</t>
        </is>
      </c>
      <c r="F1" s="105" t="inlineStr">
        <is>
          <t>← Mục lục</t>
        </is>
      </c>
    </row>
    <row r="3">
      <c r="A3" s="3" t="inlineStr">
        <is>
          <t>STT</t>
        </is>
      </c>
      <c r="B3" s="3" t="inlineStr">
        <is>
          <t>Nội dung công việc</t>
        </is>
      </c>
      <c r="C3" s="3" t="inlineStr">
        <is>
          <t>ĐVT</t>
        </is>
      </c>
      <c r="D3" s="3" t="inlineStr">
        <is>
          <t>KL hợp đồng</t>
        </is>
      </c>
    </row>
    <row r="4">
      <c r="A4" s="6">
        <v>1</v>
      </c>
      <c r="B4" s="4" t="inlineStr">
        <is>
          <t>Đào đất hố móng bằng máy</t>
        </is>
      </c>
      <c r="C4" s="6" t="inlineStr">
        <is>
          <t>m³</t>
        </is>
      </c>
      <c r="D4" s="32">
        <v>1250</v>
      </c>
    </row>
    <row r="5">
      <c r="A5" s="6">
        <v>2</v>
      </c>
      <c r="B5" s="4" t="inlineStr">
        <is>
          <t>Bê tông lót móng M100</t>
        </is>
      </c>
      <c r="C5" s="6" t="inlineStr">
        <is>
          <t>m³</t>
        </is>
      </c>
      <c r="D5" s="32">
        <v>38.5</v>
      </c>
    </row>
    <row r="6">
      <c r="A6" s="6">
        <v>3</v>
      </c>
      <c r="B6" s="4" t="inlineStr">
        <is>
          <t>Bê tông móng M300</t>
        </is>
      </c>
      <c r="C6" s="6" t="inlineStr">
        <is>
          <t>m³</t>
        </is>
      </c>
      <c r="D6" s="32">
        <v>412.6</v>
      </c>
    </row>
    <row r="7">
      <c r="A7" s="6">
        <v>4</v>
      </c>
      <c r="B7" s="4" t="inlineStr">
        <is>
          <t>Cốt thép móng CB400-V</t>
        </is>
      </c>
      <c r="C7" s="6" t="inlineStr">
        <is>
          <t>tấn</t>
        </is>
      </c>
      <c r="D7" s="32">
        <v>36.8</v>
      </c>
    </row>
    <row r="8">
      <c r="A8" s="6">
        <v>5</v>
      </c>
      <c r="B8" s="4" t="inlineStr">
        <is>
          <t>Ván khuôn móng</t>
        </is>
      </c>
      <c r="C8" s="6" t="inlineStr">
        <is>
          <t>m²</t>
        </is>
      </c>
      <c r="D8" s="32">
        <v>864</v>
      </c>
    </row>
  </sheetData>
  <hyperlinks>
    <hyperlink ref="F1" location="'Mục lục'!A113" display="← Mục lục"/>
  </hyperlink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F10"/>
  <sheetViews>
    <sheetView workbookViewId="0">
      <selection activeCell="A8" sqref="A8:D10"/>
    </sheetView>
  </sheetViews>
  <sheetFormatPr defaultRowHeight="15"/>
  <cols>
    <col min="1" max="1" width="5.00" customWidth="1"/>
    <col min="2" max="2" width="34.00" customWidth="1"/>
    <col min="3" max="3" width="7.00" customWidth="1"/>
    <col min="4" max="4" width="13.00" customWidth="1"/>
    <col min="6" max="6" width="12.00" customWidth="1"/>
  </cols>
  <sheetData>
    <row r="1">
      <c r="A1" s="1" t="inlineStr">
        <is>
          <t>DỰ TOÁN CHI TIẾT — PHẦN MÓNG</t>
        </is>
      </c>
      <c r="F1" s="105" t="inlineStr">
        <is>
          <t>← Mục lục</t>
        </is>
      </c>
    </row>
    <row r="3">
      <c r="A3" s="3" t="inlineStr">
        <is>
          <t>STT</t>
        </is>
      </c>
      <c r="B3" s="3" t="inlineStr">
        <is>
          <t>Nội dung công việc</t>
        </is>
      </c>
      <c r="C3" s="3" t="inlineStr">
        <is>
          <t>ĐVT</t>
        </is>
      </c>
      <c r="D3" s="3" t="inlineStr">
        <is>
          <t>Khối lượng</t>
        </is>
      </c>
    </row>
    <row r="4">
      <c r="A4" s="6">
        <v>1</v>
      </c>
      <c r="B4" s="4" t="inlineStr">
        <is>
          <t>Bê tông móng M300</t>
        </is>
      </c>
      <c r="C4" s="6" t="inlineStr">
        <is>
          <t>m³</t>
        </is>
      </c>
      <c r="D4" s="32">
        <v>412.6</v>
      </c>
    </row>
    <row r="5">
      <c r="A5" s="6">
        <v>2</v>
      </c>
      <c r="B5" s="4" t="inlineStr">
        <is>
          <t>Bê tông giằng móng M300</t>
        </is>
      </c>
      <c r="C5" s="6" t="inlineStr">
        <is>
          <t>m³</t>
        </is>
      </c>
      <c r="D5" s="32">
        <v>58.4</v>
      </c>
    </row>
    <row r="8">
      <c r="A8" s="4"/>
      <c r="B8" s="53" t="inlineStr">
        <is>
          <t>- Vật liệu</t>
        </is>
      </c>
      <c r="C8" s="4"/>
      <c r="D8" s="4"/>
    </row>
    <row r="9">
      <c r="A9" s="4"/>
      <c r="B9" s="53" t="inlineStr">
        <is>
          <t>- Nhân công</t>
        </is>
      </c>
      <c r="C9" s="4"/>
      <c r="D9" s="4"/>
    </row>
    <row r="10">
      <c r="A10" s="4"/>
      <c r="B10" s="53" t="inlineStr">
        <is>
          <t>- Máy thi công</t>
        </is>
      </c>
      <c r="C10" s="4"/>
      <c r="D10" s="4"/>
    </row>
  </sheetData>
  <hyperlinks>
    <hyperlink ref="F1" location="'Mục lục'!A114" display="← Mục lục"/>
  </hyperlink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F12"/>
  <sheetViews>
    <sheetView workbookViewId="0">
      <selection activeCell="A4" sqref="A4:D12"/>
    </sheetView>
  </sheetViews>
  <sheetFormatPr defaultRowHeight="15"/>
  <cols>
    <col min="1" max="1" width="5.00" customWidth="1"/>
    <col min="2" max="2" width="32.00" customWidth="1"/>
    <col min="3" max="3" width="7.00" customWidth="1"/>
    <col min="4" max="4" width="15.00" customWidth="1"/>
    <col min="6" max="6" width="12.00" customWidth="1"/>
  </cols>
  <sheetData>
    <row r="1">
      <c r="A1" s="1" t="inlineStr">
        <is>
          <t>KHỐI LƯỢNG PHẦN MÓNG (xuất từ phần mềm dự toán)</t>
        </is>
      </c>
      <c r="F1" s="105" t="inlineStr">
        <is>
          <t>← Mục lục</t>
        </is>
      </c>
    </row>
    <row r="3">
      <c r="A3" s="3" t="inlineStr">
        <is>
          <t>STT</t>
        </is>
      </c>
      <c r="B3" s="3" t="inlineStr">
        <is>
          <t>Nội dung công việc</t>
        </is>
      </c>
      <c r="C3" s="3" t="inlineStr">
        <is>
          <t>ĐVT</t>
        </is>
      </c>
      <c r="D3" s="3" t="inlineStr">
        <is>
          <t>Khối lượng</t>
        </is>
      </c>
    </row>
    <row r="4">
      <c r="A4" s="6">
        <v>1</v>
      </c>
      <c r="B4" s="4" t="inlineStr">
        <is>
          <t>Bê tông lót móng M100</t>
        </is>
      </c>
      <c r="C4" s="6" t="inlineStr">
        <is>
          <t>m³</t>
        </is>
      </c>
      <c r="D4" s="32">
        <v>38.5</v>
      </c>
    </row>
    <row r="5">
      <c r="A5" s="4"/>
      <c r="B5" s="4"/>
      <c r="C5" s="4"/>
      <c r="D5" s="4"/>
    </row>
    <row r="6">
      <c r="A6" s="4"/>
      <c r="B6" s="4"/>
      <c r="C6" s="4"/>
      <c r="D6" s="4"/>
    </row>
    <row r="7">
      <c r="A7" s="6">
        <v>2</v>
      </c>
      <c r="B7" s="4" t="inlineStr">
        <is>
          <t>Bê tông móng M300</t>
        </is>
      </c>
      <c r="C7" s="6" t="inlineStr">
        <is>
          <t>m³</t>
        </is>
      </c>
      <c r="D7" s="32">
        <v>412.6</v>
      </c>
    </row>
    <row r="8">
      <c r="A8" s="4"/>
      <c r="B8" s="4"/>
      <c r="C8" s="4"/>
      <c r="D8" s="4"/>
    </row>
    <row r="9">
      <c r="A9" s="6">
        <v>3</v>
      </c>
      <c r="B9" s="4" t="inlineStr">
        <is>
          <t>Cốt thép móng CB400-V</t>
        </is>
      </c>
      <c r="C9" s="6" t="inlineStr">
        <is>
          <t>tấn</t>
        </is>
      </c>
      <c r="D9" s="32">
        <v>36.8</v>
      </c>
    </row>
    <row r="10">
      <c r="A10" s="4"/>
      <c r="B10" s="4"/>
      <c r="C10" s="4"/>
      <c r="D10" s="4"/>
    </row>
    <row r="11">
      <c r="A11" s="4"/>
      <c r="B11" s="4"/>
      <c r="C11" s="4"/>
      <c r="D11" s="4"/>
    </row>
    <row r="12">
      <c r="A12" s="6">
        <v>4</v>
      </c>
      <c r="B12" s="4" t="inlineStr">
        <is>
          <t>Ván khuôn móng</t>
        </is>
      </c>
      <c r="C12" s="6" t="inlineStr">
        <is>
          <t>m²</t>
        </is>
      </c>
      <c r="D12" s="32">
        <v>864</v>
      </c>
    </row>
  </sheetData>
  <hyperlinks>
    <hyperlink ref="F1" location="'Mục lục'!A115" display="← Mục lục"/>
  </hyperlink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G11"/>
  <sheetViews>
    <sheetView workbookViewId="0">
      <selection activeCell="B3" sqref="B3"/>
    </sheetView>
  </sheetViews>
  <sheetFormatPr defaultRowHeight="15"/>
  <cols>
    <col min="1" max="1" width="5.00" customWidth="1"/>
    <col min="2" max="2" width="15.00" customWidth="1"/>
    <col min="3" max="3" width="30.00" customWidth="1"/>
    <col min="4" max="4" width="6.00" customWidth="1"/>
    <col min="5" max="5" width="13.00" customWidth="1"/>
    <col min="7" max="7" width="12.00" customWidth="1"/>
  </cols>
  <sheetData>
    <row r="1">
      <c r="A1" s="1" t="inlineStr">
        <is>
          <t>TỔNG HỢP KHỐI LƯỢNG — NHÀ VĂN PHÒNG 9 TẦNG</t>
        </is>
      </c>
      <c r="G1" s="105" t="inlineStr">
        <is>
          <t>← Mục lục</t>
        </is>
      </c>
    </row>
    <row r="3">
      <c r="A3" s="3" t="inlineStr">
        <is>
          <t>STT</t>
        </is>
      </c>
      <c r="B3" s="3" t="inlineStr">
        <is>
          <t>Hạng mục</t>
        </is>
      </c>
      <c r="C3" s="3" t="inlineStr">
        <is>
          <t>Nội dung công việc</t>
        </is>
      </c>
      <c r="D3" s="3" t="inlineStr">
        <is>
          <t>ĐVT</t>
        </is>
      </c>
      <c r="E3" s="3" t="inlineStr">
        <is>
          <t>Khối lượng</t>
        </is>
      </c>
    </row>
    <row r="4">
      <c r="A4" s="6">
        <v>1</v>
      </c>
      <c r="B4" s="4" t="inlineStr">
        <is>
          <t>Kết cấu thép</t>
        </is>
      </c>
      <c r="C4" s="4" t="inlineStr">
        <is>
          <t>Cột thép I300</t>
        </is>
      </c>
      <c r="D4" s="6" t="inlineStr">
        <is>
          <t>tấn</t>
        </is>
      </c>
      <c r="E4" s="11">
        <v>12.4</v>
      </c>
    </row>
    <row r="5">
      <c r="A5" s="6">
        <v>2</v>
      </c>
      <c r="B5" s="4" t="inlineStr">
        <is>
          <t>Bê tông</t>
        </is>
      </c>
      <c r="C5" s="4" t="inlineStr">
        <is>
          <t>Bê tông sàn tầng 2, M300</t>
        </is>
      </c>
      <c r="D5" s="6" t="inlineStr">
        <is>
          <t>m³</t>
        </is>
      </c>
      <c r="E5" s="11">
        <v>96.5</v>
      </c>
    </row>
    <row r="6">
      <c r="A6" s="6">
        <v>3</v>
      </c>
      <c r="B6" s="4" t="inlineStr">
        <is>
          <t>Kết cấu thép</t>
        </is>
      </c>
      <c r="C6" s="4" t="inlineStr">
        <is>
          <t>Dầm thép I400</t>
        </is>
      </c>
      <c r="D6" s="6" t="inlineStr">
        <is>
          <t>tấn</t>
        </is>
      </c>
      <c r="E6" s="11">
        <v>18.75</v>
      </c>
    </row>
    <row r="7">
      <c r="A7" s="6">
        <v>4</v>
      </c>
      <c r="B7" s="4" t="inlineStr">
        <is>
          <t>Kết cấu thép</t>
        </is>
      </c>
      <c r="C7" s="4" t="inlineStr">
        <is>
          <t>Bu lông neo M24</t>
        </is>
      </c>
      <c r="D7" s="6" t="inlineStr">
        <is>
          <t>bộ</t>
        </is>
      </c>
      <c r="E7" s="4">
        <v>64</v>
      </c>
    </row>
    <row r="8">
      <c r="A8" s="6">
        <v>5</v>
      </c>
      <c r="B8" s="4" t="inlineStr">
        <is>
          <t>Hoàn thiện</t>
        </is>
      </c>
      <c r="C8" s="4" t="inlineStr">
        <is>
          <t>Trát tường trong</t>
        </is>
      </c>
      <c r="D8" s="6" t="inlineStr">
        <is>
          <t>m²</t>
        </is>
      </c>
      <c r="E8" s="32">
        <v>1240</v>
      </c>
    </row>
    <row r="9">
      <c r="A9" s="6">
        <v>6</v>
      </c>
      <c r="B9" s="4" t="inlineStr">
        <is>
          <t>Bê tông</t>
        </is>
      </c>
      <c r="C9" s="4" t="inlineStr">
        <is>
          <t>Bê tông cột tầng 2, M300</t>
        </is>
      </c>
      <c r="D9" s="6" t="inlineStr">
        <is>
          <t>m³</t>
        </is>
      </c>
      <c r="E9" s="11">
        <v>22.8</v>
      </c>
    </row>
    <row r="10">
      <c r="A10" s="6">
        <v>7</v>
      </c>
      <c r="B10" s="4" t="inlineStr">
        <is>
          <t>Kết cấu thép</t>
        </is>
      </c>
      <c r="C10" s="4" t="inlineStr">
        <is>
          <t>Sơn chống gỉ kết cấu thép</t>
        </is>
      </c>
      <c r="D10" s="6" t="inlineStr">
        <is>
          <t>m²</t>
        </is>
      </c>
      <c r="E10" s="32">
        <v>486</v>
      </c>
    </row>
    <row r="11">
      <c r="A11" s="6">
        <v>8</v>
      </c>
      <c r="B11" s="4" t="inlineStr">
        <is>
          <t>Hoàn thiện</t>
        </is>
      </c>
      <c r="C11" s="4" t="inlineStr">
        <is>
          <t>Lát nền gạch 600x600</t>
        </is>
      </c>
      <c r="D11" s="6" t="inlineStr">
        <is>
          <t>m²</t>
        </is>
      </c>
      <c r="E11" s="32">
        <v>815</v>
      </c>
    </row>
  </sheetData>
  <hyperlinks>
    <hyperlink ref="G1" location="'Mục lục'!A116" display="← Mục lục"/>
  </hyperlink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I14"/>
  <sheetViews>
    <sheetView workbookViewId="0">
      <selection activeCell="E8" sqref="E8"/>
    </sheetView>
  </sheetViews>
  <sheetFormatPr defaultRowHeight="15"/>
  <cols>
    <col min="1" max="1" width="5.00" customWidth="1"/>
    <col min="2" max="2" width="30.00" customWidth="1"/>
    <col min="3" max="3" width="7.00" customWidth="1"/>
    <col min="4" max="4" width="11.00" customWidth="1"/>
    <col min="5" max="5" width="14.00" customWidth="1"/>
    <col min="6" max="6" width="9.00" customWidth="1"/>
    <col min="7" max="7" width="9.00" customWidth="1"/>
    <col min="9" max="9" width="12.00" customWidth="1"/>
  </cols>
  <sheetData>
    <row r="1">
      <c r="A1" s="1" t="inlineStr">
        <is>
          <t>KHỐI LƯỢNG PHẦN THÔ — NHÀ VĂN PHÒNG 9 TẦNG</t>
        </is>
      </c>
      <c r="I1" s="105" t="inlineStr">
        <is>
          <t>← Mục lục</t>
        </is>
      </c>
    </row>
    <row r="3">
      <c r="A3" s="3" t="inlineStr">
        <is>
          <t>STT</t>
        </is>
      </c>
      <c r="B3" s="3" t="inlineStr">
        <is>
          <t>Nội dung công việc</t>
        </is>
      </c>
      <c r="C3" s="3" t="inlineStr">
        <is>
          <t>ĐVT</t>
        </is>
      </c>
      <c r="D3" s="3" t="inlineStr">
        <is>
          <t>Khối lượng</t>
        </is>
      </c>
      <c r="E3" s="3" t="inlineStr">
        <is>
          <t>Thành tiền (đ)</t>
        </is>
      </c>
      <c r="F3" s="54"/>
      <c r="G3" s="54"/>
    </row>
    <row r="4">
      <c r="A4" s="6">
        <v>1</v>
      </c>
      <c r="B4" s="4" t="inlineStr">
        <is>
          <t>Bê tông cột tầng 1–3, M300</t>
        </is>
      </c>
      <c r="C4" s="6" t="inlineStr">
        <is>
          <t>m³</t>
        </is>
      </c>
      <c r="D4" s="32">
        <v>54.6</v>
      </c>
      <c r="E4" s="33">
        <v>68250000</v>
      </c>
      <c r="F4" s="54"/>
      <c r="G4" s="54"/>
    </row>
    <row r="5">
      <c r="A5" s="6">
        <v>2</v>
      </c>
      <c r="B5" s="4" t="inlineStr">
        <is>
          <t>Bê tông dầm sàn tầng 1–3, M300</t>
        </is>
      </c>
      <c r="C5" s="6" t="inlineStr">
        <is>
          <t>m³</t>
        </is>
      </c>
      <c r="D5" s="32">
        <v>193.5</v>
      </c>
      <c r="E5" s="33">
        <v>241875000</v>
      </c>
      <c r="F5" s="54"/>
      <c r="G5" s="54"/>
    </row>
    <row r="6">
      <c r="A6" s="6">
        <v>3</v>
      </c>
      <c r="B6" s="4" t="inlineStr">
        <is>
          <t>Cốt thép CB400-V</t>
        </is>
      </c>
      <c r="C6" s="6" t="inlineStr">
        <is>
          <t>tấn</t>
        </is>
      </c>
      <c r="D6" s="32">
        <v>38.9</v>
      </c>
      <c r="E6" s="33">
        <v>700200000</v>
      </c>
      <c r="F6" s="54"/>
      <c r="G6" s="54"/>
    </row>
    <row r="7">
      <c r="A7" s="6">
        <v>4</v>
      </c>
      <c r="B7" s="4" t="inlineStr">
        <is>
          <t>Ván khuôn cột, dầm, sàn</t>
        </is>
      </c>
      <c r="C7" s="6" t="inlineStr">
        <is>
          <t>m²</t>
        </is>
      </c>
      <c r="D7" s="32">
        <v>1820</v>
      </c>
      <c r="E7" s="33">
        <v>309400000</v>
      </c>
      <c r="F7" s="54"/>
      <c r="G7" s="54"/>
    </row>
    <row r="8">
      <c r="A8" s="6">
        <v>5</v>
      </c>
      <c r="B8" s="4" t="inlineStr">
        <is>
          <t>Xây tường gạch 2 lỗ dày 220</t>
        </is>
      </c>
      <c r="C8" s="6" t="inlineStr">
        <is>
          <t>m³</t>
        </is>
      </c>
      <c r="D8" s="32">
        <v>86.2</v>
      </c>
      <c r="E8" s="33">
        <v>112060000</v>
      </c>
      <c r="F8" s="54"/>
      <c r="G8" s="54"/>
    </row>
    <row r="9">
      <c r="A9" s="4"/>
      <c r="B9" s="4"/>
      <c r="C9" s="4"/>
      <c r="D9" s="4"/>
      <c r="E9" s="4"/>
      <c r="F9" s="54"/>
      <c r="G9" s="54"/>
    </row>
    <row r="10">
      <c r="A10" s="4"/>
      <c r="B10" s="4"/>
      <c r="C10" s="4"/>
      <c r="D10" s="4"/>
      <c r="E10" s="4"/>
      <c r="F10" s="54"/>
      <c r="G10" s="54"/>
    </row>
    <row r="11">
      <c r="A11" s="4"/>
      <c r="B11" s="4"/>
      <c r="C11" s="4"/>
      <c r="D11" s="4"/>
      <c r="E11" s="4"/>
      <c r="F11" s="54"/>
      <c r="G11" s="54"/>
    </row>
    <row r="12">
      <c r="A12" s="4"/>
      <c r="B12" s="4"/>
      <c r="C12" s="4"/>
      <c r="D12" s="4"/>
      <c r="E12" s="4"/>
      <c r="F12" s="54"/>
      <c r="G12" s="54"/>
    </row>
    <row r="13">
      <c r="A13" s="4"/>
      <c r="B13" s="4"/>
      <c r="C13" s="4"/>
      <c r="D13" s="4"/>
      <c r="E13" s="4"/>
      <c r="F13" s="54"/>
      <c r="G13" s="54"/>
    </row>
    <row r="14">
      <c r="A14" s="4"/>
      <c r="B14" s="4"/>
      <c r="C14" s="4"/>
      <c r="D14" s="4"/>
      <c r="E14" s="4"/>
      <c r="F14" s="54"/>
      <c r="G14" s="54"/>
    </row>
  </sheetData>
  <hyperlinks>
    <hyperlink ref="I1" location="'Mục lục'!A117" display="← Mục lục"/>
  </hyperlink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F7"/>
  <sheetViews>
    <sheetView workbookViewId="0">
      <selection activeCell="B4" sqref="B4:B6"/>
    </sheetView>
  </sheetViews>
  <sheetFormatPr defaultRowHeight="15"/>
  <cols>
    <col min="1" max="1" width="5.00" customWidth="1"/>
    <col min="2" max="2" width="46.00" customWidth="1"/>
    <col min="3" max="3" width="7.00" customWidth="1"/>
    <col min="4" max="4" width="11.00" customWidth="1"/>
    <col min="6" max="6" width="12.00" customWidth="1"/>
  </cols>
  <sheetData>
    <row r="1">
      <c r="A1" s="1" t="inlineStr">
        <is>
          <t>THUYẾT MINH KHỐI LƯỢNG — PHẦN MÓNG</t>
        </is>
      </c>
      <c r="F1" s="105" t="inlineStr">
        <is>
          <t>← Mục lục</t>
        </is>
      </c>
    </row>
    <row r="3">
      <c r="A3" s="3" t="inlineStr">
        <is>
          <t>STT</t>
        </is>
      </c>
      <c r="B3" s="3" t="inlineStr">
        <is>
          <t>Diễn giải khối lượng</t>
        </is>
      </c>
      <c r="C3" s="3" t="inlineStr">
        <is>
          <t>ĐVT</t>
        </is>
      </c>
      <c r="D3" s="3" t="inlineStr">
        <is>
          <t>Khối lượng</t>
        </is>
      </c>
    </row>
    <row r="4">
      <c r="A4" s="6">
        <v>1</v>
      </c>
      <c r="B4" s="4" t="inlineStr">
        <is>
          <t>Bê tông lót đá 4x6 M100</t>
        </is>
      </c>
      <c r="C4" s="6" t="inlineStr">
        <is>
          <t>m³</t>
        </is>
      </c>
      <c r="D4" s="32">
        <v>12.5</v>
      </c>
    </row>
    <row r="5">
      <c r="A5" s="4"/>
      <c r="B5" s="4" t="inlineStr">
        <is>
          <t>dày 100 mm, khối lượng 12,5 m³</t>
        </is>
      </c>
      <c r="C5" s="4"/>
      <c r="D5" s="4"/>
    </row>
    <row r="6">
      <c r="A6" s="4"/>
      <c r="B6" s="4" t="inlineStr">
        <is>
          <t>Vị trí: móng M1, M2 (trục 1–3)</t>
        </is>
      </c>
      <c r="C6" s="4"/>
      <c r="D6" s="4"/>
    </row>
    <row r="7">
      <c r="A7" s="6">
        <v>2</v>
      </c>
      <c r="B7" s="4" t="inlineStr">
        <is>
          <t>Bê tông móng M300</t>
        </is>
      </c>
      <c r="C7" s="6" t="inlineStr">
        <is>
          <t>m³</t>
        </is>
      </c>
      <c r="D7" s="32">
        <v>412.6</v>
      </c>
    </row>
  </sheetData>
  <hyperlinks>
    <hyperlink ref="F1" location="'Mục lục'!A120" display="← Mục lục"/>
  </hyperlink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G9"/>
  <sheetViews>
    <sheetView workbookViewId="0">
      <selection activeCell="A4" sqref="A4:A9"/>
    </sheetView>
  </sheetViews>
  <sheetFormatPr defaultRowHeight="15"/>
  <cols>
    <col min="1" max="1" width="14.00" customWidth="1"/>
    <col min="2" max="2" width="8.00" customWidth="1"/>
    <col min="3" max="3" width="10.00" customWidth="1"/>
    <col min="4" max="4" width="12.00" customWidth="1"/>
    <col min="5" max="5" width="9.00" customWidth="1"/>
    <col min="7" max="7" width="12.00" customWidth="1"/>
  </cols>
  <sheetData>
    <row r="1">
      <c r="A1" s="1" t="inlineStr">
        <is>
          <t>THỐNG KÊ CỐT THÉP — MÓNG, CỘT TẦNG 1</t>
        </is>
      </c>
      <c r="G1" s="105" t="inlineStr">
        <is>
          <t>← Mục lục</t>
        </is>
      </c>
    </row>
    <row r="3" ht="28.50" customHeight="1">
      <c r="A3" s="2" t="inlineStr">
        <is>
          <t>Cấu kiện</t>
        </is>
      </c>
      <c r="B3" s="2" t="inlineStr">
        <is>
          <t>Số hiệu</t>
        </is>
      </c>
      <c r="C3" s="2" t="inlineStr">
        <is>
          <t>Đường kính</t>
        </is>
      </c>
      <c r="D3" s="2" t="inlineStr">
        <is>
          <t>Chiều dài (mm)</t>
        </is>
      </c>
      <c r="E3" s="2" t="inlineStr">
        <is>
          <t>Số thanh</t>
        </is>
      </c>
    </row>
    <row r="4">
      <c r="A4" s="4" t="inlineStr">
        <is>
          <t>Móng M1</t>
        </is>
      </c>
      <c r="B4" s="6">
        <v>1</v>
      </c>
      <c r="C4" s="6" t="inlineStr">
        <is>
          <t>ø16</t>
        </is>
      </c>
      <c r="D4" s="33">
        <v>2350</v>
      </c>
      <c r="E4" s="4">
        <v>24</v>
      </c>
    </row>
    <row r="5">
      <c r="A5" s="4" t="inlineStr">
        <is>
          <t>Móng M1</t>
        </is>
      </c>
      <c r="B5" s="6">
        <v>2</v>
      </c>
      <c r="C5" s="6" t="inlineStr">
        <is>
          <t>ø12</t>
        </is>
      </c>
      <c r="D5" s="33">
        <v>2350</v>
      </c>
      <c r="E5" s="4">
        <v>24</v>
      </c>
    </row>
    <row r="6">
      <c r="A6" s="4" t="inlineStr">
        <is>
          <t>Móng M1</t>
        </is>
      </c>
      <c r="B6" s="6">
        <v>3</v>
      </c>
      <c r="C6" s="6" t="inlineStr">
        <is>
          <t>ø8</t>
        </is>
      </c>
      <c r="D6" s="33">
        <v>1420</v>
      </c>
      <c r="E6" s="4">
        <v>36</v>
      </c>
    </row>
    <row r="7">
      <c r="A7" s="4" t="inlineStr">
        <is>
          <t>Cột C1</t>
        </is>
      </c>
      <c r="B7" s="6">
        <v>4</v>
      </c>
      <c r="C7" s="6" t="inlineStr">
        <is>
          <t>ø20</t>
        </is>
      </c>
      <c r="D7" s="33">
        <v>3900</v>
      </c>
      <c r="E7" s="4">
        <v>8</v>
      </c>
    </row>
    <row r="8">
      <c r="A8" s="4" t="inlineStr">
        <is>
          <t>Cột C1</t>
        </is>
      </c>
      <c r="B8" s="6">
        <v>5</v>
      </c>
      <c r="C8" s="6" t="inlineStr">
        <is>
          <t>ø8</t>
        </is>
      </c>
      <c r="D8" s="33">
        <v>1560</v>
      </c>
      <c r="E8" s="4">
        <v>30</v>
      </c>
    </row>
    <row r="9">
      <c r="A9" s="4" t="inlineStr">
        <is>
          <t>Cột C1</t>
        </is>
      </c>
      <c r="B9" s="6">
        <v>6</v>
      </c>
      <c r="C9" s="6" t="inlineStr">
        <is>
          <t>ø8</t>
        </is>
      </c>
      <c r="D9" s="4">
        <v>980</v>
      </c>
      <c r="E9" s="4">
        <v>30</v>
      </c>
    </row>
  </sheetData>
  <hyperlinks>
    <hyperlink ref="G1" location="'Mục lục'!A121" display="← Mục lục"/>
  </hyperlink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E9"/>
  <sheetViews>
    <sheetView workbookViewId="0">
      <selection activeCell="A4" sqref="A4:C9"/>
    </sheetView>
  </sheetViews>
  <sheetFormatPr defaultRowHeight="15"/>
  <cols>
    <col min="1" max="1" width="12.00" customWidth="1"/>
    <col min="2" max="2" width="12.00" customWidth="1"/>
    <col min="3" max="3" width="22.00" customWidth="1"/>
    <col min="5" max="5" width="12.00" customWidth="1"/>
  </cols>
  <sheetData>
    <row r="1">
      <c r="A1" s="1" t="inlineStr">
        <is>
          <t>ĐO BÓC BÊ TÔNG THEO CẤU KIỆN</t>
        </is>
      </c>
      <c r="E1" s="105" t="inlineStr">
        <is>
          <t>← Mục lục</t>
        </is>
      </c>
    </row>
    <row r="3">
      <c r="A3" s="3" t="inlineStr">
        <is>
          <t>Mã CT</t>
        </is>
      </c>
      <c r="B3" s="3" t="inlineStr">
        <is>
          <t>Khối lượng</t>
        </is>
      </c>
      <c r="C3" s="3" t="inlineStr">
        <is>
          <t>Vị trí</t>
        </is>
      </c>
    </row>
    <row r="4">
      <c r="A4" s="4" t="inlineStr">
        <is>
          <t>AF.11110</t>
        </is>
      </c>
      <c r="B4" s="32">
        <v>12.5</v>
      </c>
      <c r="C4" s="4" t="inlineStr">
        <is>
          <t>Móng M1</t>
        </is>
      </c>
    </row>
    <row r="5">
      <c r="A5" s="4" t="inlineStr">
        <is>
          <t>AF.11110</t>
        </is>
      </c>
      <c r="B5" s="32">
        <v>8.4</v>
      </c>
      <c r="C5" s="4" t="inlineStr">
        <is>
          <t>Móng M2</t>
        </is>
      </c>
    </row>
    <row r="6">
      <c r="A6" s="4" t="inlineStr">
        <is>
          <t>AF.12220</t>
        </is>
      </c>
      <c r="B6" s="32">
        <v>6.2</v>
      </c>
      <c r="C6" s="4" t="inlineStr">
        <is>
          <t>Cột C1</t>
        </is>
      </c>
    </row>
    <row r="7">
      <c r="A7" s="4" t="inlineStr">
        <is>
          <t>AF.11110</t>
        </is>
      </c>
      <c r="B7" s="32">
        <v>6.3</v>
      </c>
      <c r="C7" s="4" t="inlineStr">
        <is>
          <t>Móng M3</t>
        </is>
      </c>
    </row>
    <row r="8">
      <c r="A8" s="4" t="inlineStr">
        <is>
          <t>AF.12220</t>
        </is>
      </c>
      <c r="B8" s="32">
        <v>5.9</v>
      </c>
      <c r="C8" s="4" t="inlineStr">
        <is>
          <t>Cột C2</t>
        </is>
      </c>
    </row>
    <row r="9">
      <c r="A9" s="4" t="inlineStr">
        <is>
          <t>AF.13110</t>
        </is>
      </c>
      <c r="B9" s="32">
        <v>24.6</v>
      </c>
      <c r="C9" s="4" t="inlineStr">
        <is>
          <t>Dầm D1</t>
        </is>
      </c>
    </row>
  </sheetData>
  <hyperlinks>
    <hyperlink ref="E1" location="'Mục lục'!A122" display="← Mục lục"/>
  </hyperlink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F13"/>
  <sheetViews>
    <sheetView workbookViewId="0">
      <selection activeCell="A4" sqref="A4:A13"/>
    </sheetView>
  </sheetViews>
  <sheetFormatPr defaultRowHeight="15"/>
  <cols>
    <col min="1" max="1" width="8.00" customWidth="1"/>
    <col min="2" max="2" width="38.00" customWidth="1"/>
    <col min="3" max="3" width="9.00" customWidth="1"/>
    <col min="4" max="4" width="11.00" customWidth="1"/>
    <col min="6" max="6" width="12.00" customWidth="1"/>
  </cols>
  <sheetData>
    <row r="1">
      <c r="A1" s="1" t="inlineStr">
        <is>
          <t>BẢNG KHỐI LƯỢNG — NHÀ VĂN PHÒNG 9 TẦNG</t>
        </is>
      </c>
      <c r="F1" s="105" t="inlineStr">
        <is>
          <t>← Mục lục</t>
        </is>
      </c>
    </row>
    <row r="3">
      <c r="A3" s="3" t="inlineStr">
        <is>
          <t>TT</t>
        </is>
      </c>
      <c r="B3" s="3" t="inlineStr">
        <is>
          <t>Nội dung công việc</t>
        </is>
      </c>
      <c r="C3" s="3" t="inlineStr">
        <is>
          <t>ĐVT</t>
        </is>
      </c>
      <c r="D3" s="3" t="inlineStr">
        <is>
          <t>Khối lượng</t>
        </is>
      </c>
    </row>
    <row r="4">
      <c r="A4" s="31">
        <v>1</v>
      </c>
      <c r="B4" s="25" t="inlineStr">
        <is>
          <t>PHẦN NGẦM</t>
        </is>
      </c>
      <c r="C4" s="4"/>
      <c r="D4" s="4"/>
    </row>
    <row r="5">
      <c r="A5" s="6" t="inlineStr">
        <is>
          <t>1.1</t>
        </is>
      </c>
      <c r="B5" s="4" t="inlineStr">
        <is>
          <t>Công tác đất</t>
        </is>
      </c>
      <c r="C5" s="4"/>
      <c r="D5" s="4"/>
    </row>
    <row r="6">
      <c r="A6" s="6" t="inlineStr">
        <is>
          <t>1.1.1</t>
        </is>
      </c>
      <c r="B6" s="4" t="inlineStr">
        <is>
          <t>Đào đất hố móng bằng máy</t>
        </is>
      </c>
      <c r="C6" s="6" t="inlineStr">
        <is>
          <t>m³</t>
        </is>
      </c>
      <c r="D6" s="32">
        <v>1250</v>
      </c>
    </row>
    <row r="7">
      <c r="A7" s="6" t="inlineStr">
        <is>
          <t>1.1.2</t>
        </is>
      </c>
      <c r="B7" s="4" t="inlineStr">
        <is>
          <t>Lấp đất hố móng, đầm chặt K95</t>
        </is>
      </c>
      <c r="C7" s="6" t="inlineStr">
        <is>
          <t>m³</t>
        </is>
      </c>
      <c r="D7" s="32">
        <v>640</v>
      </c>
    </row>
    <row r="8">
      <c r="A8" s="6" t="inlineStr">
        <is>
          <t>1.2</t>
        </is>
      </c>
      <c r="B8" s="4" t="inlineStr">
        <is>
          <t>Bê tông móng</t>
        </is>
      </c>
      <c r="C8" s="4"/>
      <c r="D8" s="4"/>
    </row>
    <row r="9">
      <c r="A9" s="6" t="inlineStr">
        <is>
          <t>1.2.1</t>
        </is>
      </c>
      <c r="B9" s="4" t="inlineStr">
        <is>
          <t>Bê tông lót móng M100</t>
        </is>
      </c>
      <c r="C9" s="6" t="inlineStr">
        <is>
          <t>m³</t>
        </is>
      </c>
      <c r="D9" s="32">
        <v>38.5</v>
      </c>
    </row>
    <row r="10">
      <c r="A10" s="6" t="inlineStr">
        <is>
          <t>1.2.2</t>
        </is>
      </c>
      <c r="B10" s="4" t="inlineStr">
        <is>
          <t>Bê tông móng M300</t>
        </is>
      </c>
      <c r="C10" s="6" t="inlineStr">
        <is>
          <t>m³</t>
        </is>
      </c>
      <c r="D10" s="32">
        <v>412.6</v>
      </c>
    </row>
    <row r="11">
      <c r="A11" s="31">
        <v>2</v>
      </c>
      <c r="B11" s="25" t="inlineStr">
        <is>
          <t>PHẦN THÂN</t>
        </is>
      </c>
      <c r="C11" s="4"/>
      <c r="D11" s="4"/>
    </row>
    <row r="12">
      <c r="A12" s="6" t="inlineStr">
        <is>
          <t>2.1</t>
        </is>
      </c>
      <c r="B12" s="4" t="inlineStr">
        <is>
          <t>Bê tông cột tầng 1–3, M300</t>
        </is>
      </c>
      <c r="C12" s="6" t="inlineStr">
        <is>
          <t>m³</t>
        </is>
      </c>
      <c r="D12" s="32">
        <v>54.6</v>
      </c>
    </row>
    <row r="13">
      <c r="A13" s="6" t="inlineStr">
        <is>
          <t>2.2</t>
        </is>
      </c>
      <c r="B13" s="4" t="inlineStr">
        <is>
          <t>Bê tông dầm sàn tầng 1–3, M300</t>
        </is>
      </c>
      <c r="C13" s="6" t="inlineStr">
        <is>
          <t>m³</t>
        </is>
      </c>
      <c r="D13" s="32">
        <v>193.5</v>
      </c>
    </row>
  </sheetData>
  <hyperlinks>
    <hyperlink ref="F1" location="'Mục lục'!A123" display="← Mục lục"/>
  </hyperlink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H8"/>
  <sheetViews>
    <sheetView workbookViewId="0">
      <selection activeCell="A3" sqref="A3:F8"/>
    </sheetView>
  </sheetViews>
  <sheetFormatPr defaultRowHeight="15"/>
  <cols>
    <col min="1" max="1" width="4.00" customWidth="1"/>
    <col min="2" max="2" width="20.00" customWidth="1"/>
    <col min="3" max="3" width="12.00" customWidth="1"/>
    <col min="4" max="4" width="12.00" customWidth="1"/>
    <col min="5" max="5" width="12.00" customWidth="1"/>
    <col min="6" max="6" width="12.00" customWidth="1"/>
    <col min="8" max="8" width="12.00" customWidth="1"/>
  </cols>
  <sheetData>
    <row r="1">
      <c r="A1" s="29" t="inlineStr">
        <is>
          <t>BIÊN BẢN NGHIỆM THU CÔNG VIỆC XÂY DỰNG</t>
        </is>
      </c>
      <c r="H1" s="105" t="inlineStr">
        <is>
          <t>← Mục lục</t>
        </is>
      </c>
    </row>
    <row r="3">
      <c r="A3" s="1" t="inlineStr">
        <is>
          <t>1. Đối tượng nghiệm thu:</t>
        </is>
      </c>
    </row>
    <row r="4">
      <c r="B4" s="18" t="inlineStr">
        <is>
          <t>Công tác cốt thép móng M1, M2 — thép chủ ø18 nhóm CB400-V, thép đai ø8a150; đã kiểm tra chủng loại, số lượng, khoảng cách và lớp bê tông bảo vệ.</t>
        </is>
      </c>
    </row>
    <row r="5">
      <c r="A5" s="1" t="inlineStr">
        <is>
          <t>2. Thời gian nghiệm thu:</t>
        </is>
      </c>
    </row>
    <row r="6">
      <c r="B6" s="18" t="inlineStr">
        <is>
          <t>Bắt đầu 08:00 ngày 08/10/2026 — kết thúc 10:30 ngày 08/10/2026</t>
        </is>
      </c>
    </row>
    <row r="7">
      <c r="A7" s="1" t="inlineStr">
        <is>
          <t>3. Đánh giá công việc đã thực hiện:</t>
        </is>
      </c>
    </row>
    <row r="8">
      <c r="B8" s="18" t="inlineStr">
        <is>
          <t>Công việc thực hiện đúng bản vẽ thi công KC-03 đến KC-07, phù hợp TCVN 4453:1995 và chỉ dẫn kỹ thuật của dự án; đủ điều kiện chuyển sang lắp dựng ván khuôn và đổ bê tông móng.</t>
        </is>
      </c>
    </row>
  </sheetData>
  <mergeCells count="4">
    <mergeCell ref="A1:F1"/>
    <mergeCell ref="B4:F4"/>
    <mergeCell ref="B6:F6"/>
    <mergeCell ref="B8:F8"/>
  </mergeCells>
  <hyperlinks>
    <hyperlink ref="H1" location="'Mục lục'!A124" display="← Mục lục"/>
  </hyperlink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G11"/>
  <sheetViews>
    <sheetView workbookViewId="0">
      <selection activeCell="A3" sqref="A3:E11"/>
    </sheetView>
  </sheetViews>
  <sheetFormatPr defaultRowHeight="15"/>
  <cols>
    <col min="1" max="1" width="5.00" customWidth="1"/>
    <col min="2" max="2" width="15.00" customWidth="1"/>
    <col min="3" max="3" width="34.00" customWidth="1"/>
    <col min="4" max="4" width="6.00" customWidth="1"/>
    <col min="5" max="5" width="12.00" customWidth="1"/>
    <col min="7" max="7" width="12.00" customWidth="1"/>
  </cols>
  <sheetData>
    <row r="1">
      <c r="A1" s="1" t="inlineStr">
        <is>
          <t>BẢNG KHỐI LƯỢNG — NHÀ VĂN PHÒNG 9 TẦNG</t>
        </is>
      </c>
      <c r="G1" s="105" t="inlineStr">
        <is>
          <t>← Mục lục</t>
        </is>
      </c>
    </row>
    <row r="3">
      <c r="A3" s="3" t="inlineStr">
        <is>
          <t>STT</t>
        </is>
      </c>
      <c r="B3" s="3" t="inlineStr">
        <is>
          <t>Hạng mục</t>
        </is>
      </c>
      <c r="C3" s="3" t="inlineStr">
        <is>
          <t>Nội dung công việc</t>
        </is>
      </c>
      <c r="D3" s="3" t="inlineStr">
        <is>
          <t>ĐVT</t>
        </is>
      </c>
      <c r="E3" s="3" t="inlineStr">
        <is>
          <t>Khối lượng</t>
        </is>
      </c>
    </row>
    <row r="4" hidden="1">
      <c r="A4" s="6">
        <v>1</v>
      </c>
      <c r="B4" s="4" t="inlineStr">
        <is>
          <t>Phần ngầm</t>
        </is>
      </c>
      <c r="C4" s="4" t="inlineStr">
        <is>
          <t>Bê tông móng M300</t>
        </is>
      </c>
      <c r="D4" s="6" t="inlineStr">
        <is>
          <t>m³</t>
        </is>
      </c>
      <c r="E4" s="32">
        <v>412.6</v>
      </c>
    </row>
    <row r="5" hidden="1">
      <c r="A5" s="6">
        <v>2</v>
      </c>
      <c r="B5" s="4" t="inlineStr">
        <is>
          <t>Phần ngầm</t>
        </is>
      </c>
      <c r="C5" s="4" t="inlineStr">
        <is>
          <t>Cốt thép móng CB400-V</t>
        </is>
      </c>
      <c r="D5" s="6" t="inlineStr">
        <is>
          <t>tấn</t>
        </is>
      </c>
      <c r="E5" s="32">
        <v>36.8</v>
      </c>
    </row>
    <row r="6">
      <c r="A6" s="6">
        <v>3</v>
      </c>
      <c r="B6" s="4" t="inlineStr">
        <is>
          <t>Phần thân</t>
        </is>
      </c>
      <c r="C6" s="4" t="inlineStr">
        <is>
          <t>Bê tông cột tầng 1–3, M300</t>
        </is>
      </c>
      <c r="D6" s="6" t="inlineStr">
        <is>
          <t>m³</t>
        </is>
      </c>
      <c r="E6" s="32">
        <v>54.6</v>
      </c>
    </row>
    <row r="7">
      <c r="A7" s="6">
        <v>4</v>
      </c>
      <c r="B7" s="4" t="inlineStr">
        <is>
          <t>Phần thân</t>
        </is>
      </c>
      <c r="C7" s="4" t="inlineStr">
        <is>
          <t>Bê tông dầm sàn tầng 1–3, M300</t>
        </is>
      </c>
      <c r="D7" s="6" t="inlineStr">
        <is>
          <t>m³</t>
        </is>
      </c>
      <c r="E7" s="32">
        <v>193.5</v>
      </c>
    </row>
    <row r="8" hidden="1">
      <c r="A8" s="6">
        <v>5</v>
      </c>
      <c r="B8" s="4" t="inlineStr">
        <is>
          <t>Phần ngầm</t>
        </is>
      </c>
      <c r="C8" s="4" t="inlineStr">
        <is>
          <t>Ván khuôn móng</t>
        </is>
      </c>
      <c r="D8" s="6" t="inlineStr">
        <is>
          <t>m²</t>
        </is>
      </c>
      <c r="E8" s="32">
        <v>864</v>
      </c>
    </row>
    <row r="9">
      <c r="A9" s="6">
        <v>6</v>
      </c>
      <c r="B9" s="4" t="inlineStr">
        <is>
          <t>Phần thân</t>
        </is>
      </c>
      <c r="C9" s="4" t="inlineStr">
        <is>
          <t>Cốt thép cột, dầm, sàn CB400-V</t>
        </is>
      </c>
      <c r="D9" s="6" t="inlineStr">
        <is>
          <t>tấn</t>
        </is>
      </c>
      <c r="E9" s="32">
        <v>38.9</v>
      </c>
    </row>
    <row r="10">
      <c r="A10" s="6">
        <v>7</v>
      </c>
      <c r="B10" s="4" t="inlineStr">
        <is>
          <t>Phần thân</t>
        </is>
      </c>
      <c r="C10" s="4" t="inlineStr">
        <is>
          <t>Ván khuôn cột, dầm, sàn</t>
        </is>
      </c>
      <c r="D10" s="6" t="inlineStr">
        <is>
          <t>m²</t>
        </is>
      </c>
      <c r="E10" s="32">
        <v>1820</v>
      </c>
    </row>
    <row r="11" hidden="1">
      <c r="A11" s="6">
        <v>8</v>
      </c>
      <c r="B11" s="4" t="inlineStr">
        <is>
          <t>Phần ngầm</t>
        </is>
      </c>
      <c r="C11" s="4" t="inlineStr">
        <is>
          <t>Lấp đất hố móng K95</t>
        </is>
      </c>
      <c r="D11" s="6" t="inlineStr">
        <is>
          <t>m³</t>
        </is>
      </c>
      <c r="E11" s="32">
        <v>640</v>
      </c>
    </row>
  </sheetData>
  <hyperlinks>
    <hyperlink ref="G1" location="'Mục lục'!A125" display="← Mục lục"/>
  </hyperlink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G11"/>
  <sheetViews>
    <sheetView workbookViewId="0">
      <selection activeCell="C3" sqref="C3"/>
    </sheetView>
  </sheetViews>
  <sheetFormatPr defaultRowHeight="15"/>
  <cols>
    <col min="1" max="1" width="10.00" customWidth="1"/>
    <col min="2" max="2" width="26.00" customWidth="1"/>
    <col min="3" max="3" width="8.00" customWidth="1"/>
    <col min="4" max="4" width="6.00" customWidth="1"/>
    <col min="5" max="5" width="13.00" customWidth="1"/>
    <col min="7" max="7" width="12.00" customWidth="1"/>
  </cols>
  <sheetData>
    <row r="1">
      <c r="A1" s="1" t="inlineStr">
        <is>
          <t>KHỐI LƯỢNG NGHIỆM THU — KẾT CẤU THÂN</t>
        </is>
      </c>
      <c r="G1" s="105" t="inlineStr">
        <is>
          <t>← Mục lục</t>
        </is>
      </c>
    </row>
    <row r="3">
      <c r="A3" s="3" t="inlineStr">
        <is>
          <t>Mã CK</t>
        </is>
      </c>
      <c r="B3" s="3" t="inlineStr">
        <is>
          <t>Cấu kiện</t>
        </is>
      </c>
      <c r="C3" s="3" t="inlineStr">
        <is>
          <t>Tầng</t>
        </is>
      </c>
      <c r="D3" s="3" t="inlineStr">
        <is>
          <t>ĐVT</t>
        </is>
      </c>
      <c r="E3" s="3" t="inlineStr">
        <is>
          <t>KL thực tế</t>
        </is>
      </c>
    </row>
    <row r="4" hidden="1">
      <c r="A4" s="4" t="inlineStr">
        <is>
          <t>C4-01</t>
        </is>
      </c>
      <c r="B4" s="4" t="inlineStr">
        <is>
          <t>Cột trục A-1</t>
        </is>
      </c>
      <c r="C4" s="6" t="inlineStr">
        <is>
          <t>Tầng 4</t>
        </is>
      </c>
      <c r="D4" s="6" t="inlineStr">
        <is>
          <t>m³</t>
        </is>
      </c>
      <c r="E4" s="4"/>
    </row>
    <row r="5">
      <c r="A5" s="4" t="inlineStr">
        <is>
          <t>C5-01</t>
        </is>
      </c>
      <c r="B5" s="4" t="inlineStr">
        <is>
          <t>Cột trục A-1</t>
        </is>
      </c>
      <c r="C5" s="6" t="inlineStr">
        <is>
          <t>Tầng 5</t>
        </is>
      </c>
      <c r="D5" s="6" t="inlineStr">
        <is>
          <t>m³</t>
        </is>
      </c>
      <c r="E5" s="4"/>
    </row>
    <row r="6" hidden="1">
      <c r="A6" s="4" t="inlineStr">
        <is>
          <t>C4-02</t>
        </is>
      </c>
      <c r="B6" s="4" t="inlineStr">
        <is>
          <t>Cột trục A-2</t>
        </is>
      </c>
      <c r="C6" s="6" t="inlineStr">
        <is>
          <t>Tầng 4</t>
        </is>
      </c>
      <c r="D6" s="6" t="inlineStr">
        <is>
          <t>m³</t>
        </is>
      </c>
      <c r="E6" s="4"/>
    </row>
    <row r="7">
      <c r="A7" s="4" t="inlineStr">
        <is>
          <t>C5-02</t>
        </is>
      </c>
      <c r="B7" s="4" t="inlineStr">
        <is>
          <t>Cột trục A-2</t>
        </is>
      </c>
      <c r="C7" s="6" t="inlineStr">
        <is>
          <t>Tầng 5</t>
        </is>
      </c>
      <c r="D7" s="6" t="inlineStr">
        <is>
          <t>m³</t>
        </is>
      </c>
      <c r="E7" s="4"/>
    </row>
    <row r="8" hidden="1">
      <c r="A8" s="4" t="inlineStr">
        <is>
          <t>D4-01</t>
        </is>
      </c>
      <c r="B8" s="4" t="inlineStr">
        <is>
          <t>Dầm trục A, nhịp 1–2</t>
        </is>
      </c>
      <c r="C8" s="6" t="inlineStr">
        <is>
          <t>Tầng 4</t>
        </is>
      </c>
      <c r="D8" s="6" t="inlineStr">
        <is>
          <t>m³</t>
        </is>
      </c>
      <c r="E8" s="4"/>
    </row>
    <row r="9">
      <c r="A9" s="4" t="inlineStr">
        <is>
          <t>D5-01</t>
        </is>
      </c>
      <c r="B9" s="4" t="inlineStr">
        <is>
          <t>Dầm trục A, nhịp 1–2</t>
        </is>
      </c>
      <c r="C9" s="6" t="inlineStr">
        <is>
          <t>Tầng 5</t>
        </is>
      </c>
      <c r="D9" s="6" t="inlineStr">
        <is>
          <t>m³</t>
        </is>
      </c>
      <c r="E9" s="4"/>
    </row>
    <row r="10" hidden="1">
      <c r="A10" s="4" t="inlineStr">
        <is>
          <t>S4-01</t>
        </is>
      </c>
      <c r="B10" s="4" t="inlineStr">
        <is>
          <t>Sàn ô S1</t>
        </is>
      </c>
      <c r="C10" s="6" t="inlineStr">
        <is>
          <t>Tầng 4</t>
        </is>
      </c>
      <c r="D10" s="6" t="inlineStr">
        <is>
          <t>m³</t>
        </is>
      </c>
      <c r="E10" s="4"/>
    </row>
    <row r="11">
      <c r="A11" s="4" t="inlineStr">
        <is>
          <t>S5-01</t>
        </is>
      </c>
      <c r="B11" s="4" t="inlineStr">
        <is>
          <t>Sàn ô S1</t>
        </is>
      </c>
      <c r="C11" s="6" t="inlineStr">
        <is>
          <t>Tầng 5</t>
        </is>
      </c>
      <c r="D11" s="6" t="inlineStr">
        <is>
          <t>m³</t>
        </is>
      </c>
      <c r="E11" s="4"/>
    </row>
  </sheetData>
  <hyperlinks>
    <hyperlink ref="G1" location="'Mục lục'!A126" display="← Mục lục"/>
  </hyperlink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G4"/>
  <sheetViews>
    <sheetView workbookViewId="0">
      <selection activeCell="B2" sqref="B2:B4"/>
    </sheetView>
  </sheetViews>
  <sheetFormatPr defaultRowHeight="15"/>
  <cols>
    <col min="1" max="1" width="4.00" customWidth="1"/>
    <col min="2" max="2" width="11.00" customWidth="1"/>
    <col min="3" max="3" width="38.00" customWidth="1"/>
    <col min="4" max="4" width="3.00" customWidth="1"/>
    <col min="5" max="5" width="24.00" customWidth="1"/>
    <col min="7" max="7" width="12.00" customWidth="1"/>
  </cols>
  <sheetData>
    <row r="1">
      <c r="A1" s="3" t="inlineStr">
        <is>
          <t>TT</t>
        </is>
      </c>
      <c r="B1" s="3" t="inlineStr">
        <is>
          <t>Mã sheet</t>
        </is>
      </c>
      <c r="C1" s="3" t="inlineStr">
        <is>
          <t>Biểu mẫu</t>
        </is>
      </c>
      <c r="E1" s="3" t="inlineStr">
        <is>
          <t>Sheet cần in</t>
        </is>
      </c>
      <c r="G1" s="105" t="inlineStr">
        <is>
          <t>← Mục lục</t>
        </is>
      </c>
    </row>
    <row r="2">
      <c r="A2" s="6">
        <v>1</v>
      </c>
      <c r="B2" s="4" t="inlineStr">
        <is>
          <t>YCNTCV</t>
        </is>
      </c>
      <c r="C2" s="4" t="inlineStr">
        <is>
          <t>Phiếu yêu cầu nghiệm thu công việc</t>
        </is>
      </c>
      <c r="E2" s="4"/>
    </row>
    <row r="3">
      <c r="A3" s="6">
        <v>2</v>
      </c>
      <c r="B3" s="4" t="inlineStr">
        <is>
          <t>BBNTCV</t>
        </is>
      </c>
      <c r="C3" s="4" t="inlineStr">
        <is>
          <t>Biên bản nghiệm thu công việc xây dựng</t>
        </is>
      </c>
    </row>
    <row r="4">
      <c r="A4" s="6">
        <v>3</v>
      </c>
      <c r="B4" s="4" t="inlineStr">
        <is>
          <t>KT_DD</t>
        </is>
      </c>
      <c r="C4" s="4" t="inlineStr">
        <is>
          <t>Bản kiểm tra đo đạc kích thước</t>
        </is>
      </c>
    </row>
  </sheetData>
  <hyperlinks>
    <hyperlink ref="G1" location="'Mục lục'!A127" display="← Mục lục"/>
  </hyperlink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H6"/>
  <sheetViews>
    <sheetView workbookViewId="0">
      <selection activeCell="B4" sqref="B4:D5"/>
    </sheetView>
  </sheetViews>
  <sheetFormatPr defaultRowHeight="15"/>
  <cols>
    <col min="1" max="1" width="17.00" customWidth="1"/>
    <col min="2" max="2" width="12.00" customWidth="1"/>
    <col min="3" max="3" width="12.00" customWidth="1"/>
    <col min="4" max="4" width="12.00" customWidth="1"/>
    <col min="5" max="5" width="3.00" customWidth="1"/>
    <col min="6" max="6" width="16.00" customWidth="1"/>
    <col min="8" max="8" width="12.00" customWidth="1"/>
  </cols>
  <sheetData>
    <row r="1">
      <c r="A1" s="29" t="inlineStr">
        <is>
          <t>BIÊN BẢN NGHIỆM THU CÔNG VIỆC</t>
        </is>
      </c>
      <c r="H1" s="105" t="inlineStr">
        <is>
          <t>← Mục lục</t>
        </is>
      </c>
    </row>
    <row r="3">
      <c r="A3" s="25" t="inlineStr">
        <is>
          <t>Công trình:</t>
        </is>
      </c>
      <c r="B3" s="4" t="inlineStr">
        <is>
          <t>Nhà văn phòng 9 tầng</t>
        </is>
      </c>
      <c r="C3" s="4"/>
      <c r="D3" s="4"/>
      <c r="F3" s="3" t="inlineStr">
        <is>
          <t>Ô thay khi in</t>
        </is>
      </c>
    </row>
    <row r="4">
      <c r="A4" s="25" t="inlineStr">
        <is>
          <t>Hạng mục:</t>
        </is>
      </c>
      <c r="B4" s="4" t="inlineStr">
        <is>
          <t>Bê tông móng M1, M2</t>
        </is>
      </c>
      <c r="C4" s="4"/>
      <c r="D4" s="4"/>
      <c r="F4" s="4"/>
    </row>
    <row r="5">
      <c r="A5" s="25" t="inlineStr">
        <is>
          <t>Vị trí:</t>
        </is>
      </c>
      <c r="B5" s="4" t="inlineStr">
        <is>
          <t>Trục 1–3 / A–C</t>
        </is>
      </c>
      <c r="C5" s="4"/>
      <c r="D5" s="4"/>
    </row>
    <row r="6">
      <c r="A6" s="25" t="inlineStr">
        <is>
          <t>Ngày nghiệm thu:</t>
        </is>
      </c>
      <c r="B6" s="55">
        <v>46303</v>
      </c>
      <c r="C6" s="4"/>
      <c r="D6" s="4"/>
    </row>
  </sheetData>
  <mergeCells count="5">
    <mergeCell ref="A1:D1"/>
    <mergeCell ref="B3:D3"/>
    <mergeCell ref="B4:D4"/>
    <mergeCell ref="B5:D5"/>
    <mergeCell ref="B6:D6"/>
  </mergeCells>
  <hyperlinks>
    <hyperlink ref="H1" location="'Mục lục'!A128" display="← Mục lục"/>
  </hyperlink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G7"/>
  <sheetViews>
    <sheetView workbookViewId="0">
      <selection activeCell="E6" sqref="E6"/>
    </sheetView>
  </sheetViews>
  <sheetFormatPr defaultRowHeight="15"/>
  <cols>
    <col min="1" max="1" width="4.00" customWidth="1"/>
    <col min="2" max="2" width="10.00" customWidth="1"/>
    <col min="3" max="3" width="30.00" customWidth="1"/>
    <col min="4" max="4" width="7.00" customWidth="1"/>
    <col min="5" max="5" width="11.00" customWidth="1"/>
    <col min="7" max="7" width="12.00" customWidth="1"/>
  </cols>
  <sheetData>
    <row r="1">
      <c r="A1" s="1" t="inlineStr">
        <is>
          <t>TỔNG HỢP KHỐI LƯỢNG TẦNG 5</t>
        </is>
      </c>
      <c r="G1" s="105" t="inlineStr">
        <is>
          <t>← Mục lục</t>
        </is>
      </c>
    </row>
    <row r="3">
      <c r="A3" s="3" t="inlineStr">
        <is>
          <t>TT</t>
        </is>
      </c>
      <c r="B3" s="3" t="inlineStr">
        <is>
          <t>Mã hiệu</t>
        </is>
      </c>
      <c r="C3" s="3" t="inlineStr">
        <is>
          <t>Nội dung công việc</t>
        </is>
      </c>
      <c r="D3" s="3" t="inlineStr">
        <is>
          <t>ĐVT</t>
        </is>
      </c>
      <c r="E3" s="3" t="inlineStr">
        <is>
          <t>Tầng 5</t>
        </is>
      </c>
    </row>
    <row r="4">
      <c r="A4" s="6">
        <v>1</v>
      </c>
      <c r="B4" s="4" t="inlineStr">
        <is>
          <t>AF.12315</t>
        </is>
      </c>
      <c r="C4" s="4" t="inlineStr">
        <is>
          <t>Bê tông cột M300</t>
        </is>
      </c>
      <c r="D4" s="6" t="inlineStr">
        <is>
          <t>m³</t>
        </is>
      </c>
      <c r="E4" s="37">
        <f>SUMIFS('KL Tang 5'!$H$5:$H$400,'KL Tang 5'!$C$5:$C$400,B4)</f>
        <v>18.46</v>
      </c>
    </row>
    <row r="5">
      <c r="A5" s="6">
        <v>2</v>
      </c>
      <c r="B5" s="4" t="inlineStr">
        <is>
          <t>AF.12415</t>
        </is>
      </c>
      <c r="C5" s="4" t="inlineStr">
        <is>
          <t>Bê tông dầm, sàn M300</t>
        </is>
      </c>
      <c r="D5" s="6" t="inlineStr">
        <is>
          <t>m³</t>
        </is>
      </c>
      <c r="E5" s="37">
        <f>SUMIFS('KL Tang 5'!$H$5:$H$400,'KL Tang 5'!$C$5:$C$400,B5)</f>
        <v>96.8</v>
      </c>
    </row>
    <row r="6">
      <c r="A6" s="6">
        <v>3</v>
      </c>
      <c r="B6" s="4" t="inlineStr">
        <is>
          <t>AF.61531</t>
        </is>
      </c>
      <c r="C6" s="4" t="inlineStr">
        <is>
          <t>Cốt thép dầm, sàn d ≤ 18 mm</t>
        </is>
      </c>
      <c r="D6" s="6" t="inlineStr">
        <is>
          <t>tấn</t>
        </is>
      </c>
      <c r="E6" s="37">
        <f>SUMIFS('KL Tang 5'!$H$5:$H$400,'KL Tang 4'!$C$5:$C$400,B6)</f>
        <v>0.0</v>
      </c>
    </row>
    <row r="7">
      <c r="A7" s="6">
        <v>4</v>
      </c>
      <c r="B7" s="4" t="inlineStr">
        <is>
          <t>AF.86311</t>
        </is>
      </c>
      <c r="C7" s="4" t="inlineStr">
        <is>
          <t>Ván khuôn dầm, sàn</t>
        </is>
      </c>
      <c r="D7" s="6" t="inlineStr">
        <is>
          <t>100m²</t>
        </is>
      </c>
      <c r="E7" s="37">
        <f>SUMIFS('KL Tang 5'!$H$5:$H$400,'KL Tang 5'!$C$5:$C$400,B7)</f>
        <v>7.92</v>
      </c>
    </row>
  </sheetData>
  <hyperlinks>
    <hyperlink ref="G1" location="'Mục lục'!A129" display="← Mục lục"/>
  </hyperlink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13"/>
  <sheetViews>
    <sheetView workbookViewId="0"/>
  </sheetViews>
  <sheetFormatPr defaultRowHeight="15"/>
  <cols>
    <col min="1" max="1" width="5.00" customWidth="1"/>
    <col min="2" max="2" width="26.00" customWidth="1"/>
    <col min="3" max="3" width="11.00" customWidth="1"/>
    <col min="4" max="4" width="8.00" customWidth="1"/>
    <col min="8" max="8" width="11.00" customWidth="1"/>
    <col min="10" max="10" width="12.00" customWidth="1"/>
  </cols>
  <sheetData>
    <row r="1">
      <c r="A1" s="1" t="inlineStr">
        <is>
          <t>KHỐI LƯỢNG CHI TIẾT TẦNG 4</t>
        </is>
      </c>
      <c r="J1" s="105" t="inlineStr">
        <is>
          <t>← Mục lục</t>
        </is>
      </c>
    </row>
    <row r="4">
      <c r="A4" s="3" t="inlineStr">
        <is>
          <t>TT</t>
        </is>
      </c>
      <c r="B4" s="3" t="inlineStr">
        <is>
          <t>Diễn giải</t>
        </is>
      </c>
      <c r="C4" s="3" t="inlineStr">
        <is>
          <t>Mã hiệu</t>
        </is>
      </c>
      <c r="D4" s="3" t="inlineStr">
        <is>
          <t>ĐVT</t>
        </is>
      </c>
      <c r="E4" s="4"/>
      <c r="F4" s="4"/>
      <c r="G4" s="4"/>
      <c r="H4" s="3" t="inlineStr">
        <is>
          <t>Khối lượng</t>
        </is>
      </c>
    </row>
    <row r="5">
      <c r="A5" s="4">
        <v>1</v>
      </c>
      <c r="B5" s="4" t="inlineStr">
        <is>
          <t>Cột trục A</t>
        </is>
      </c>
      <c r="C5" s="4" t="inlineStr">
        <is>
          <t>AF.12315</t>
        </is>
      </c>
      <c r="D5" s="4" t="inlineStr">
        <is>
          <t>m³</t>
        </is>
      </c>
      <c r="E5" s="4"/>
      <c r="F5" s="4"/>
      <c r="G5" s="4"/>
      <c r="H5" s="11">
        <v>9.1</v>
      </c>
    </row>
    <row r="6">
      <c r="A6" s="4">
        <v>2</v>
      </c>
      <c r="B6" s="4" t="inlineStr">
        <is>
          <t>Cột trục B</t>
        </is>
      </c>
      <c r="C6" s="4" t="inlineStr">
        <is>
          <t>AF.12315</t>
        </is>
      </c>
      <c r="D6" s="4" t="inlineStr">
        <is>
          <t>m³</t>
        </is>
      </c>
      <c r="E6" s="4"/>
      <c r="F6" s="4"/>
      <c r="G6" s="4"/>
      <c r="H6" s="11">
        <v>9.1</v>
      </c>
    </row>
    <row r="7">
      <c r="A7" s="4">
        <v>3</v>
      </c>
      <c r="B7" s="4" t="inlineStr">
        <is>
          <t>Dầm, sàn khu 1</t>
        </is>
      </c>
      <c r="C7" s="4" t="inlineStr">
        <is>
          <t>AF.12415</t>
        </is>
      </c>
      <c r="D7" s="4" t="inlineStr">
        <is>
          <t>m³</t>
        </is>
      </c>
      <c r="E7" s="4"/>
      <c r="F7" s="4"/>
      <c r="G7" s="4"/>
      <c r="H7" s="11">
        <v>56.4</v>
      </c>
    </row>
    <row r="8">
      <c r="A8" s="4">
        <v>4</v>
      </c>
      <c r="B8" s="4" t="inlineStr">
        <is>
          <t>Dầm, sàn khu 2</t>
        </is>
      </c>
      <c r="C8" s="4" t="inlineStr">
        <is>
          <t>AF.12415</t>
        </is>
      </c>
      <c r="D8" s="4" t="inlineStr">
        <is>
          <t>m³</t>
        </is>
      </c>
      <c r="E8" s="4"/>
      <c r="F8" s="4"/>
      <c r="G8" s="4"/>
      <c r="H8" s="11">
        <v>37.2</v>
      </c>
    </row>
    <row r="9">
      <c r="A9" s="4">
        <v>5</v>
      </c>
      <c r="B9" s="4" t="inlineStr">
        <is>
          <t>Vách thang máy</t>
        </is>
      </c>
      <c r="C9" s="4" t="inlineStr">
        <is>
          <t>AF.12515</t>
        </is>
      </c>
      <c r="D9" s="4" t="inlineStr">
        <is>
          <t>m³</t>
        </is>
      </c>
      <c r="E9" s="4"/>
      <c r="F9" s="4"/>
      <c r="G9" s="4"/>
      <c r="H9" s="11">
        <v>12.6</v>
      </c>
    </row>
    <row r="10">
      <c r="A10" s="4">
        <v>6</v>
      </c>
      <c r="B10" s="4" t="inlineStr">
        <is>
          <t>Ván khuôn dầm, sàn</t>
        </is>
      </c>
      <c r="C10" s="4" t="inlineStr">
        <is>
          <t>AF.86311</t>
        </is>
      </c>
      <c r="D10" s="4" t="inlineStr">
        <is>
          <t>100m²</t>
        </is>
      </c>
      <c r="E10" s="4"/>
      <c r="F10" s="4"/>
      <c r="G10" s="4"/>
      <c r="H10" s="11">
        <v>7.64</v>
      </c>
    </row>
    <row r="11">
      <c r="A11" s="4">
        <v>7</v>
      </c>
      <c r="B11" s="4" t="inlineStr">
        <is>
          <t>Ván khuôn vách</t>
        </is>
      </c>
      <c r="C11" s="4" t="inlineStr">
        <is>
          <t>AF.86411</t>
        </is>
      </c>
      <c r="D11" s="4" t="inlineStr">
        <is>
          <t>100m²</t>
        </is>
      </c>
      <c r="E11" s="4"/>
      <c r="F11" s="4"/>
      <c r="G11" s="4"/>
      <c r="H11" s="11">
        <v>2.18</v>
      </c>
    </row>
    <row r="12">
      <c r="A12" s="4">
        <v>8</v>
      </c>
      <c r="B12" s="4" t="inlineStr">
        <is>
          <t>Thép dầm, sàn khu 1</t>
        </is>
      </c>
      <c r="C12" s="4" t="inlineStr">
        <is>
          <t>AF.61531</t>
        </is>
      </c>
      <c r="D12" s="4" t="inlineStr">
        <is>
          <t>tấn</t>
        </is>
      </c>
      <c r="E12" s="4"/>
      <c r="F12" s="4"/>
      <c r="G12" s="4"/>
      <c r="H12" s="11">
        <v>5.9</v>
      </c>
    </row>
    <row r="13">
      <c r="A13" s="4">
        <v>9</v>
      </c>
      <c r="B13" s="4" t="inlineStr">
        <is>
          <t>Thép dầm, sàn khu 2</t>
        </is>
      </c>
      <c r="C13" s="4" t="inlineStr">
        <is>
          <t>AF.61531</t>
        </is>
      </c>
      <c r="D13" s="4" t="inlineStr">
        <is>
          <t>tấn</t>
        </is>
      </c>
      <c r="E13" s="4"/>
      <c r="F13" s="4"/>
      <c r="G13" s="4"/>
      <c r="H13" s="11">
        <v>3.55</v>
      </c>
    </row>
  </sheetData>
  <hyperlinks>
    <hyperlink ref="J1" location="'Mục lục'!A129" display="← Mục lục"/>
  </hyperlink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11"/>
  <sheetViews>
    <sheetView workbookViewId="0"/>
  </sheetViews>
  <sheetFormatPr defaultRowHeight="15"/>
  <cols>
    <col min="1" max="1" width="5.00" customWidth="1"/>
    <col min="2" max="2" width="26.00" customWidth="1"/>
    <col min="3" max="3" width="11.00" customWidth="1"/>
    <col min="4" max="4" width="8.00" customWidth="1"/>
    <col min="8" max="8" width="11.00" customWidth="1"/>
    <col min="10" max="10" width="12.00" customWidth="1"/>
  </cols>
  <sheetData>
    <row r="1">
      <c r="A1" s="1" t="inlineStr">
        <is>
          <t>KHỐI LƯỢNG CHI TIẾT TẦNG 5</t>
        </is>
      </c>
      <c r="J1" s="105" t="inlineStr">
        <is>
          <t>← Mục lục</t>
        </is>
      </c>
    </row>
    <row r="4">
      <c r="A4" s="3" t="inlineStr">
        <is>
          <t>TT</t>
        </is>
      </c>
      <c r="B4" s="3" t="inlineStr">
        <is>
          <t>Diễn giải</t>
        </is>
      </c>
      <c r="C4" s="3" t="inlineStr">
        <is>
          <t>Mã hiệu</t>
        </is>
      </c>
      <c r="D4" s="3" t="inlineStr">
        <is>
          <t>ĐVT</t>
        </is>
      </c>
      <c r="E4" s="4"/>
      <c r="F4" s="4"/>
      <c r="G4" s="4"/>
      <c r="H4" s="3" t="inlineStr">
        <is>
          <t>Khối lượng</t>
        </is>
      </c>
    </row>
    <row r="5">
      <c r="A5" s="4">
        <v>1</v>
      </c>
      <c r="B5" s="4" t="inlineStr">
        <is>
          <t>Cột trục A</t>
        </is>
      </c>
      <c r="C5" s="4" t="inlineStr">
        <is>
          <t>AF.12315</t>
        </is>
      </c>
      <c r="D5" s="4" t="inlineStr">
        <is>
          <t>m³</t>
        </is>
      </c>
      <c r="E5" s="4"/>
      <c r="F5" s="4"/>
      <c r="G5" s="4"/>
      <c r="H5" s="11">
        <v>9.23</v>
      </c>
    </row>
    <row r="6">
      <c r="A6" s="4">
        <v>2</v>
      </c>
      <c r="B6" s="4" t="inlineStr">
        <is>
          <t>Cột trục B</t>
        </is>
      </c>
      <c r="C6" s="4" t="inlineStr">
        <is>
          <t>AF.12315</t>
        </is>
      </c>
      <c r="D6" s="4" t="inlineStr">
        <is>
          <t>m³</t>
        </is>
      </c>
      <c r="E6" s="4"/>
      <c r="F6" s="4"/>
      <c r="G6" s="4"/>
      <c r="H6" s="11">
        <v>9.23</v>
      </c>
    </row>
    <row r="7">
      <c r="A7" s="4">
        <v>3</v>
      </c>
      <c r="B7" s="4" t="inlineStr">
        <is>
          <t>Dầm, sàn khu 1</t>
        </is>
      </c>
      <c r="C7" s="4" t="inlineStr">
        <is>
          <t>AF.12415</t>
        </is>
      </c>
      <c r="D7" s="4" t="inlineStr">
        <is>
          <t>m³</t>
        </is>
      </c>
      <c r="E7" s="4"/>
      <c r="F7" s="4"/>
      <c r="G7" s="4"/>
      <c r="H7" s="11">
        <v>58.3</v>
      </c>
    </row>
    <row r="8">
      <c r="A8" s="4">
        <v>4</v>
      </c>
      <c r="B8" s="4" t="inlineStr">
        <is>
          <t>Dầm, sàn khu 2</t>
        </is>
      </c>
      <c r="C8" s="4" t="inlineStr">
        <is>
          <t>AF.12415</t>
        </is>
      </c>
      <c r="D8" s="4" t="inlineStr">
        <is>
          <t>m³</t>
        </is>
      </c>
      <c r="E8" s="4"/>
      <c r="F8" s="4"/>
      <c r="G8" s="4"/>
      <c r="H8" s="11">
        <v>38.5</v>
      </c>
    </row>
    <row r="9">
      <c r="A9" s="4">
        <v>5</v>
      </c>
      <c r="B9" s="4" t="inlineStr">
        <is>
          <t>Thép dầm, sàn khu 1</t>
        </is>
      </c>
      <c r="C9" s="4" t="inlineStr">
        <is>
          <t>AF.61531</t>
        </is>
      </c>
      <c r="D9" s="4" t="inlineStr">
        <is>
          <t>tấn</t>
        </is>
      </c>
      <c r="E9" s="4"/>
      <c r="F9" s="4"/>
      <c r="G9" s="4"/>
      <c r="H9" s="11">
        <v>6.15</v>
      </c>
    </row>
    <row r="10">
      <c r="A10" s="4">
        <v>6</v>
      </c>
      <c r="B10" s="4" t="inlineStr">
        <is>
          <t>Thép dầm, sàn khu 2</t>
        </is>
      </c>
      <c r="C10" s="4" t="inlineStr">
        <is>
          <t>AF.61531</t>
        </is>
      </c>
      <c r="D10" s="4" t="inlineStr">
        <is>
          <t>tấn</t>
        </is>
      </c>
      <c r="E10" s="4"/>
      <c r="F10" s="4"/>
      <c r="G10" s="4"/>
      <c r="H10" s="11">
        <v>3.7</v>
      </c>
    </row>
    <row r="11">
      <c r="A11" s="4">
        <v>7</v>
      </c>
      <c r="B11" s="4" t="inlineStr">
        <is>
          <t>Ván khuôn dầm, sàn</t>
        </is>
      </c>
      <c r="C11" s="4" t="inlineStr">
        <is>
          <t>AF.86311</t>
        </is>
      </c>
      <c r="D11" s="4" t="inlineStr">
        <is>
          <t>100m²</t>
        </is>
      </c>
      <c r="E11" s="4"/>
      <c r="F11" s="4"/>
      <c r="G11" s="4"/>
      <c r="H11" s="11">
        <v>7.92</v>
      </c>
    </row>
  </sheetData>
  <hyperlinks>
    <hyperlink ref="J1" location="'Mục lục'!A129" display="← Mục lục"/>
  </hyperlink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H8"/>
  <sheetViews>
    <sheetView workbookViewId="0">
      <selection activeCell="F6" sqref="F6"/>
    </sheetView>
  </sheetViews>
  <sheetFormatPr defaultRowHeight="15"/>
  <cols>
    <col min="1" max="1" width="4.00" customWidth="1"/>
    <col min="2" max="2" width="10.00" customWidth="1"/>
    <col min="3" max="3" width="34.00" customWidth="1"/>
    <col min="4" max="4" width="7.00" customWidth="1"/>
    <col min="5" max="5" width="10.00" customWidth="1"/>
    <col min="6" max="6" width="12.00" customWidth="1"/>
    <col min="8" max="8" width="12.00" customWidth="1"/>
  </cols>
  <sheetData>
    <row r="1">
      <c r="A1" s="1" t="inlineStr">
        <is>
          <t>BẢNG DỰ TOÁN CHI TIẾT — PHẦN MÓNG</t>
        </is>
      </c>
      <c r="H1" s="105" t="inlineStr">
        <is>
          <t>← Mục lục</t>
        </is>
      </c>
    </row>
    <row r="3">
      <c r="A3" s="3" t="inlineStr">
        <is>
          <t>TT</t>
        </is>
      </c>
      <c r="B3" s="3" t="inlineStr">
        <is>
          <t>Mã hiệu</t>
        </is>
      </c>
      <c r="C3" s="3" t="inlineStr">
        <is>
          <t>Nội dung công việc</t>
        </is>
      </c>
      <c r="D3" s="3" t="inlineStr">
        <is>
          <t>ĐVT</t>
        </is>
      </c>
      <c r="E3" s="3" t="inlineStr">
        <is>
          <t>Khối lượng</t>
        </is>
      </c>
      <c r="F3" s="3" t="inlineStr">
        <is>
          <t>Đơn giá</t>
        </is>
      </c>
    </row>
    <row r="4">
      <c r="A4" s="6">
        <v>1</v>
      </c>
      <c r="B4" s="4" t="inlineStr">
        <is>
          <t>AB.11213</t>
        </is>
      </c>
      <c r="C4" s="4" t="inlineStr">
        <is>
          <t>Đào móng thủ công, đất cấp III</t>
        </is>
      </c>
      <c r="D4" s="6" t="inlineStr">
        <is>
          <t>m³</t>
        </is>
      </c>
      <c r="E4" s="37">
        <v>42.5</v>
      </c>
      <c r="F4" s="15">
        <f>VLOOKUP(B4,'DON GIA'!$A$5:$D$400,4,0)</f>
        <v>285000.0</v>
      </c>
    </row>
    <row r="5">
      <c r="A5" s="6">
        <v>2</v>
      </c>
      <c r="B5" s="4" t="inlineStr">
        <is>
          <t>AF.11120</t>
        </is>
      </c>
      <c r="C5" s="4" t="inlineStr">
        <is>
          <t>Bê tông lót móng M100, đá 4x6</t>
        </is>
      </c>
      <c r="D5" s="6" t="inlineStr">
        <is>
          <t>m³</t>
        </is>
      </c>
      <c r="E5" s="37">
        <v>12.4</v>
      </c>
      <c r="F5" s="15">
        <f>VLOOKUP(B5,'DON GIA'!$A$5:$D$400,4,0)</f>
        <v>1320000.0</v>
      </c>
    </row>
    <row r="6">
      <c r="A6" s="6">
        <v>3</v>
      </c>
      <c r="B6" s="4" t="inlineStr">
        <is>
          <t>AF.11220</t>
        </is>
      </c>
      <c r="C6" s="4" t="inlineStr">
        <is>
          <t>Bê tông móng M250, đá 1x2</t>
        </is>
      </c>
      <c r="D6" s="6" t="inlineStr">
        <is>
          <t>m³</t>
        </is>
      </c>
      <c r="E6" s="37">
        <v>86.5</v>
      </c>
      <c r="F6" s="15">
        <f>VLOOKUP(B6,'DON GIA'!$A$5:$D$400,4,0)</f>
        <v>1850000.0</v>
      </c>
    </row>
    <row r="7">
      <c r="A7" s="6">
        <v>4</v>
      </c>
      <c r="B7" s="4" t="inlineStr">
        <is>
          <t>AF.61120</t>
        </is>
      </c>
      <c r="C7" s="4" t="inlineStr">
        <is>
          <t>Cốt thép móng d ≤ 18 mm</t>
        </is>
      </c>
      <c r="D7" s="6" t="inlineStr">
        <is>
          <t>tấn</t>
        </is>
      </c>
      <c r="E7" s="37">
        <v>7.85</v>
      </c>
      <c r="F7" s="15">
        <f>VLOOKUP(B7,'DON GIA'!$A$5:$D$400,4,0)</f>
        <v>21500000.0</v>
      </c>
    </row>
    <row r="8">
      <c r="A8" s="6">
        <v>5</v>
      </c>
      <c r="B8" s="4" t="inlineStr">
        <is>
          <t>AF.81122</t>
        </is>
      </c>
      <c r="C8" s="4" t="inlineStr">
        <is>
          <t>Ván khuôn móng</t>
        </is>
      </c>
      <c r="D8" s="6" t="inlineStr">
        <is>
          <t>100m²</t>
        </is>
      </c>
      <c r="E8" s="37">
        <v>2.1</v>
      </c>
      <c r="F8" s="15">
        <f>VLOOKUP(B8,'DON GIA'!$A$5:$D$400,4,0)</f>
        <v>6240000.0</v>
      </c>
    </row>
  </sheetData>
  <hyperlinks>
    <hyperlink ref="H1" location="'Mục lục'!A130" display="← Mục lục"/>
  </hyperlink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F10"/>
  <sheetViews>
    <sheetView workbookViewId="0">
      <selection activeCell="D8" sqref="D8"/>
    </sheetView>
  </sheetViews>
  <sheetFormatPr defaultRowHeight="15"/>
  <cols>
    <col min="1" max="1" width="10.00" customWidth="1"/>
    <col min="2" max="2" width="34.00" customWidth="1"/>
    <col min="3" max="3" width="7.00" customWidth="1"/>
    <col min="4" max="4" width="12.00" customWidth="1"/>
    <col min="6" max="6" width="12.00" customWidth="1"/>
  </cols>
  <sheetData>
    <row r="1">
      <c r="A1" s="1" t="inlineStr">
        <is>
          <t>BẢNG ĐƠN GIÁ CHI TIẾT</t>
        </is>
      </c>
      <c r="F1" s="105" t="inlineStr">
        <is>
          <t>← Mục lục</t>
        </is>
      </c>
    </row>
    <row r="2">
      <c r="A2" s="48" t="inlineStr">
        <is>
          <t>Công trình: Nhà văn phòng 9 tầng</t>
        </is>
      </c>
    </row>
    <row r="4">
      <c r="A4" s="56" t="inlineStr">
        <is>
          <t>Mã hiệu</t>
        </is>
      </c>
      <c r="B4" s="56" t="inlineStr">
        <is>
          <t>Tên công tác</t>
        </is>
      </c>
      <c r="C4" s="56" t="inlineStr">
        <is>
          <t>ĐVT</t>
        </is>
      </c>
      <c r="D4" s="56" t="inlineStr">
        <is>
          <t>Đơn giá</t>
        </is>
      </c>
    </row>
    <row r="5">
      <c r="A5" s="4" t="inlineStr">
        <is>
          <t>AB.11213</t>
        </is>
      </c>
      <c r="B5" s="4" t="inlineStr">
        <is>
          <t>Đào móng thủ công, đất cấp III</t>
        </is>
      </c>
      <c r="C5" s="6" t="inlineStr">
        <is>
          <t>m³</t>
        </is>
      </c>
      <c r="D5" s="15">
        <v>285000</v>
      </c>
    </row>
    <row r="6">
      <c r="A6" s="4" t="inlineStr">
        <is>
          <t>AF.11120</t>
        </is>
      </c>
      <c r="B6" s="4" t="inlineStr">
        <is>
          <t>Bê tông lót móng M100</t>
        </is>
      </c>
      <c r="C6" s="6" t="inlineStr">
        <is>
          <t>m³</t>
        </is>
      </c>
      <c r="D6" s="15">
        <v>1320000</v>
      </c>
    </row>
    <row r="7">
      <c r="A7" s="4" t="inlineStr">
        <is>
          <t>AF.11210</t>
        </is>
      </c>
      <c r="B7" s="4" t="inlineStr">
        <is>
          <t>Bê tông móng M200</t>
        </is>
      </c>
      <c r="C7" s="6" t="inlineStr">
        <is>
          <t>m³</t>
        </is>
      </c>
      <c r="D7" s="15">
        <v>1710000</v>
      </c>
    </row>
    <row r="8">
      <c r="A8" s="4" t="inlineStr">
        <is>
          <t>AF.11220</t>
        </is>
      </c>
      <c r="B8" s="4" t="inlineStr">
        <is>
          <t>Bê tông móng M250</t>
        </is>
      </c>
      <c r="C8" s="6" t="inlineStr">
        <is>
          <t>m³</t>
        </is>
      </c>
      <c r="D8" s="15">
        <v>1850000</v>
      </c>
    </row>
    <row r="9">
      <c r="A9" s="4" t="inlineStr">
        <is>
          <t>AF.61120</t>
        </is>
      </c>
      <c r="B9" s="4" t="inlineStr">
        <is>
          <t>Cốt thép móng d ≤ 18 mm</t>
        </is>
      </c>
      <c r="C9" s="6" t="inlineStr">
        <is>
          <t>tấn</t>
        </is>
      </c>
      <c r="D9" s="15">
        <v>21500000</v>
      </c>
    </row>
    <row r="10">
      <c r="A10" s="4" t="inlineStr">
        <is>
          <t>AF.81122</t>
        </is>
      </c>
      <c r="B10" s="4" t="inlineStr">
        <is>
          <t>Ván khuôn móng</t>
        </is>
      </c>
      <c r="C10" s="6" t="inlineStr">
        <is>
          <t>100m²</t>
        </is>
      </c>
      <c r="D10" s="15">
        <v>6240000</v>
      </c>
    </row>
  </sheetData>
  <hyperlinks>
    <hyperlink ref="F1" location="'Mục lục'!A130" display="← Mục lục"/>
  </hyperlink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F6"/>
  <sheetViews>
    <sheetView workbookViewId="0">
      <selection activeCell="C4" sqref="C4"/>
    </sheetView>
  </sheetViews>
  <sheetFormatPr defaultRowHeight="15"/>
  <cols>
    <col min="1" max="1" width="5.00" customWidth="1"/>
    <col min="2" max="2" width="34.00" customWidth="1"/>
    <col min="3" max="3" width="10.00" customWidth="1"/>
    <col min="4" max="4" width="9.00" customWidth="1"/>
    <col min="6" max="6" width="12.00" customWidth="1"/>
  </cols>
  <sheetData>
    <row r="1">
      <c r="A1" s="1" t="inlineStr">
        <is>
          <t>THAM SỐ TÍNH TOÁN TIẾN ĐỘ</t>
        </is>
      </c>
      <c r="F1" s="105" t="inlineStr">
        <is>
          <t>← Mục lục</t>
        </is>
      </c>
    </row>
    <row r="3">
      <c r="A3" s="3" t="inlineStr">
        <is>
          <t>TT</t>
        </is>
      </c>
      <c r="B3" s="3" t="inlineStr">
        <is>
          <t>Tham số</t>
        </is>
      </c>
      <c r="C3" s="3" t="inlineStr">
        <is>
          <t>Giá trị</t>
        </is>
      </c>
      <c r="D3" s="3" t="inlineStr">
        <is>
          <t>ĐVT</t>
        </is>
      </c>
    </row>
    <row r="4">
      <c r="A4" s="6">
        <v>1</v>
      </c>
      <c r="B4" s="4" t="inlineStr">
        <is>
          <t>Hệ số ca máy</t>
        </is>
      </c>
      <c r="C4" s="37">
        <v>1.15</v>
      </c>
      <c r="D4" s="6" t="inlineStr">
        <is>
          <t>-</t>
        </is>
      </c>
    </row>
    <row r="5">
      <c r="A5" s="6">
        <v>2</v>
      </c>
      <c r="B5" s="4" t="inlineStr">
        <is>
          <t>Hệ số nhân công</t>
        </is>
      </c>
      <c r="C5" s="37">
        <v>1.05</v>
      </c>
      <c r="D5" s="6" t="inlineStr">
        <is>
          <t>-</t>
        </is>
      </c>
    </row>
    <row r="6">
      <c r="A6" s="6">
        <v>3</v>
      </c>
      <c r="B6" s="4" t="inlineStr">
        <is>
          <t>Số giờ làm việc một ca</t>
        </is>
      </c>
      <c r="C6" s="14">
        <v>8</v>
      </c>
      <c r="D6" s="6" t="inlineStr">
        <is>
          <t>giờ</t>
        </is>
      </c>
    </row>
  </sheetData>
  <hyperlinks>
    <hyperlink ref="F1" location="'Mục lục'!A131" display="← Mục lục"/>
  </hyperlink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1"/>
  <sheetViews>
    <sheetView workbookViewId="0">
      <selection activeCell="A4" sqref="A4:A11"/>
    </sheetView>
  </sheetViews>
  <sheetFormatPr defaultRowHeight="15"/>
  <cols>
    <col min="1" max="1" width="13.00" customWidth="1"/>
    <col min="2" max="2" width="34.00" customWidth="1"/>
    <col min="3" max="3" width="7.00" customWidth="1"/>
    <col min="4" max="4" width="12.00" customWidth="1"/>
    <col min="6" max="6" width="12.00" customWidth="1"/>
  </cols>
  <sheetData>
    <row r="1">
      <c r="A1" s="1" t="inlineStr">
        <is>
          <t>KHỐI LƯỢNG BÊ TÔNG PHẦN THÔ — NHÀ VĂN PHÒNG 9 TẦNG</t>
        </is>
      </c>
      <c r="F1" s="105" t="inlineStr">
        <is>
          <t>← Mục lục</t>
        </is>
      </c>
    </row>
    <row r="3">
      <c r="A3" s="3" t="inlineStr">
        <is>
          <t>Hạng mục</t>
        </is>
      </c>
      <c r="B3" s="3" t="inlineStr">
        <is>
          <t>Nội dung công việc</t>
        </is>
      </c>
      <c r="C3" s="3" t="inlineStr">
        <is>
          <t>ĐVT</t>
        </is>
      </c>
      <c r="D3" s="3" t="inlineStr">
        <is>
          <t>Khối lượng</t>
        </is>
      </c>
    </row>
    <row r="4">
      <c r="A4" s="25" t="inlineStr">
        <is>
          <t>MÓNG</t>
        </is>
      </c>
      <c r="B4" s="4"/>
      <c r="C4" s="4"/>
      <c r="D4" s="4"/>
    </row>
    <row r="5">
      <c r="A5" s="4"/>
      <c r="B5" s="4" t="inlineStr">
        <is>
          <t>Bê tông lót móng M100</t>
        </is>
      </c>
      <c r="C5" s="6" t="inlineStr">
        <is>
          <t>m³</t>
        </is>
      </c>
      <c r="D5" s="37">
        <v>12.4</v>
      </c>
    </row>
    <row r="6">
      <c r="A6" s="4"/>
      <c r="B6" s="4" t="inlineStr">
        <is>
          <t>Bê tông móng M250</t>
        </is>
      </c>
      <c r="C6" s="6" t="inlineStr">
        <is>
          <t>m³</t>
        </is>
      </c>
      <c r="D6" s="37">
        <v>86.5</v>
      </c>
    </row>
    <row r="7">
      <c r="A7" s="4"/>
      <c r="B7" s="4" t="inlineStr">
        <is>
          <t>Bê tông giằng móng M250</t>
        </is>
      </c>
      <c r="C7" s="6" t="inlineStr">
        <is>
          <t>m³</t>
        </is>
      </c>
      <c r="D7" s="37">
        <v>18.3</v>
      </c>
    </row>
    <row r="8">
      <c r="A8" s="25" t="inlineStr">
        <is>
          <t>THÂN</t>
        </is>
      </c>
      <c r="B8" s="4"/>
      <c r="C8" s="4"/>
      <c r="D8" s="4"/>
    </row>
    <row r="9">
      <c r="A9" s="4"/>
      <c r="B9" s="4" t="inlineStr">
        <is>
          <t>Bê tông cột tầng 1 M300</t>
        </is>
      </c>
      <c r="C9" s="6" t="inlineStr">
        <is>
          <t>m³</t>
        </is>
      </c>
      <c r="D9" s="37">
        <v>34.2</v>
      </c>
    </row>
    <row r="10">
      <c r="A10" s="4"/>
      <c r="B10" s="4" t="inlineStr">
        <is>
          <t>Bê tông dầm, sàn tầng 2 M300</t>
        </is>
      </c>
      <c r="C10" s="6" t="inlineStr">
        <is>
          <t>m³</t>
        </is>
      </c>
      <c r="D10" s="37">
        <v>96.8</v>
      </c>
    </row>
    <row r="11">
      <c r="A11" s="4"/>
      <c r="B11" s="4" t="inlineStr">
        <is>
          <t>Bê tông cầu thang bộ M300</t>
        </is>
      </c>
      <c r="C11" s="6" t="inlineStr">
        <is>
          <t>m³</t>
        </is>
      </c>
      <c r="D11" s="37">
        <v>6.45</v>
      </c>
    </row>
  </sheetData>
  <hyperlinks>
    <hyperlink ref="F1" location="'Mục lục'!A132" display="← Mục lục"/>
  </hyperlinks>
  <pageMargins left="0.7" right="0.7" top="0.75" bottom="0.75" header="0.3" footer="0.3"/>
</worksheet>
</file>

<file path=xl/worksheets/sheet118.xml><?xml version="1.0" encoding="utf-8"?>
<worksheet xmlns="http://schemas.openxmlformats.org/spreadsheetml/2006/main" xmlns:r="http://schemas.openxmlformats.org/officeDocument/2006/relationships">
  <dimension ref="A1:F7"/>
  <sheetViews>
    <sheetView workbookViewId="0">
      <selection activeCell="B4" sqref="B4:B7"/>
    </sheetView>
  </sheetViews>
  <sheetFormatPr defaultRowHeight="15"/>
  <cols>
    <col min="1" max="1" width="4.00" customWidth="1"/>
    <col min="2" max="2" width="46.00" customWidth="1"/>
    <col min="3" max="3" width="7.00" customWidth="1"/>
    <col min="4" max="4" width="11.00" customWidth="1"/>
    <col min="6" max="6" width="12.00" customWidth="1"/>
  </cols>
  <sheetData>
    <row r="1">
      <c r="A1" s="1" t="inlineStr">
        <is>
          <t>TIÊN LƯỢNG PHẦN MÓNG — NHÀ VĂN PHÒNG 9 TẦNG</t>
        </is>
      </c>
      <c r="F1" s="105" t="inlineStr">
        <is>
          <t>← Mục lục</t>
        </is>
      </c>
    </row>
    <row r="3">
      <c r="A3" s="3" t="inlineStr">
        <is>
          <t>TT</t>
        </is>
      </c>
      <c r="B3" s="3" t="inlineStr">
        <is>
          <t>Diễn giải</t>
        </is>
      </c>
      <c r="C3" s="3" t="inlineStr">
        <is>
          <t>ĐVT</t>
        </is>
      </c>
      <c r="D3" s="3" t="inlineStr">
        <is>
          <t>Khối lượng</t>
        </is>
      </c>
    </row>
    <row r="4">
      <c r="A4" s="6">
        <v>1</v>
      </c>
      <c r="B4" s="4" t="inlineStr">
        <is>
          <t>Đào hố móng M1: 4 hố x 2,5 x 2,5 x 1,6</t>
        </is>
      </c>
      <c r="C4" s="6" t="inlineStr">
        <is>
          <t>m³</t>
        </is>
      </c>
      <c r="D4" s="37">
        <v>40</v>
      </c>
    </row>
    <row r="5">
      <c r="A5" s="6">
        <v>2</v>
      </c>
      <c r="B5" s="4" t="inlineStr">
        <is>
          <t>Giằng móng: 2 x 18,4 x 0,4 x 0,5</t>
        </is>
      </c>
      <c r="C5" s="6" t="inlineStr">
        <is>
          <t>m³</t>
        </is>
      </c>
      <c r="D5" s="37">
        <v>7.36</v>
      </c>
    </row>
    <row r="6">
      <c r="A6" s="6">
        <v>3</v>
      </c>
      <c r="B6" s="4" t="inlineStr">
        <is>
          <t>Bê tông lót: 4 x 2,7 x 2,7 x 0,1</t>
        </is>
      </c>
      <c r="C6" s="6" t="inlineStr">
        <is>
          <t>m³</t>
        </is>
      </c>
      <c r="D6" s="37">
        <v>2.92</v>
      </c>
    </row>
    <row r="7">
      <c r="A7" s="6">
        <v>4</v>
      </c>
      <c r="B7" s="4" t="inlineStr">
        <is>
          <t>Cổ cột C1: 4 x 0,3 x 0,3 x 1,2</t>
        </is>
      </c>
      <c r="C7" s="6" t="inlineStr">
        <is>
          <t>m³</t>
        </is>
      </c>
      <c r="D7" s="37">
        <v>0.43</v>
      </c>
    </row>
  </sheetData>
  <hyperlinks>
    <hyperlink ref="F1" location="'Mục lục'!A133" display="← Mục lục"/>
  </hyperlinks>
  <pageMargins left="0.7" right="0.7" top="0.75" bottom="0.75" header="0.3" footer="0.3"/>
</worksheet>
</file>

<file path=xl/worksheets/sheet119.xml><?xml version="1.0" encoding="utf-8"?>
<worksheet xmlns="http://schemas.openxmlformats.org/spreadsheetml/2006/main" xmlns:r="http://schemas.openxmlformats.org/officeDocument/2006/relationships">
  <dimension ref="A1:G8"/>
  <sheetViews>
    <sheetView workbookViewId="0">
      <selection activeCell="B4" sqref="B4:E8"/>
    </sheetView>
  </sheetViews>
  <sheetFormatPr defaultRowHeight="15"/>
  <cols>
    <col min="1" max="1" width="4.00" customWidth="1"/>
    <col min="2" max="2" width="10.00" customWidth="1"/>
    <col min="3" max="3" width="36.00" customWidth="1"/>
    <col min="4" max="4" width="10.00" customWidth="1"/>
    <col min="5" max="5" width="12.00" customWidth="1"/>
    <col min="7" max="7" width="12.00" customWidth="1"/>
  </cols>
  <sheetData>
    <row r="1">
      <c r="A1" s="1" t="inlineStr">
        <is>
          <t>BẢNG KHỐI LƯỢNG — PHẦN MÓNG</t>
        </is>
      </c>
      <c r="G1" s="105" t="inlineStr">
        <is>
          <t>← Mục lục</t>
        </is>
      </c>
    </row>
    <row r="3">
      <c r="A3" s="3" t="inlineStr">
        <is>
          <t>TT</t>
        </is>
      </c>
      <c r="B3" s="3" t="inlineStr">
        <is>
          <t>Mã hiệu</t>
        </is>
      </c>
      <c r="C3" s="3" t="inlineStr">
        <is>
          <t>Nội dung công việc</t>
        </is>
      </c>
      <c r="D3" s="3" t="inlineStr">
        <is>
          <t>Khối lượng</t>
        </is>
      </c>
      <c r="E3" s="3" t="inlineStr">
        <is>
          <t>Đơn giá</t>
        </is>
      </c>
    </row>
    <row r="4">
      <c r="A4" s="6">
        <v>1</v>
      </c>
      <c r="B4" s="4" t="inlineStr">
        <is>
          <t>AB.11213</t>
        </is>
      </c>
      <c r="C4" s="4" t="inlineStr">
        <is>
          <t>Đào móng thủ công, đất cấp III</t>
        </is>
      </c>
      <c r="D4" s="37">
        <v>42.5</v>
      </c>
      <c r="E4" s="4"/>
    </row>
    <row r="5">
      <c r="A5" s="6">
        <v>2</v>
      </c>
      <c r="B5" s="4" t="inlineStr">
        <is>
          <t>AF.11120</t>
        </is>
      </c>
      <c r="C5" s="4" t="inlineStr">
        <is>
          <t>Bê tông lót móng M100</t>
        </is>
      </c>
      <c r="D5" s="37">
        <v>12.4</v>
      </c>
      <c r="E5" s="4"/>
    </row>
    <row r="6">
      <c r="A6" s="6">
        <v>3</v>
      </c>
      <c r="B6" s="4" t="inlineStr">
        <is>
          <t>AF.11220</t>
        </is>
      </c>
      <c r="C6" s="4" t="inlineStr">
        <is>
          <t>Bê tông móng M250</t>
        </is>
      </c>
      <c r="D6" s="37">
        <v>86.5</v>
      </c>
      <c r="E6" s="4"/>
    </row>
    <row r="7">
      <c r="A7" s="6">
        <v>4</v>
      </c>
      <c r="B7" s="4" t="inlineStr">
        <is>
          <t>AF.61120</t>
        </is>
      </c>
      <c r="C7" s="4" t="inlineStr">
        <is>
          <t>Cốt thép móng d ≤ 18 mm</t>
        </is>
      </c>
      <c r="D7" s="37">
        <v>7.85</v>
      </c>
      <c r="E7" s="4"/>
    </row>
    <row r="8">
      <c r="A8" s="6">
        <v>5</v>
      </c>
      <c r="B8" s="4" t="inlineStr">
        <is>
          <t>AF.8112</t>
        </is>
      </c>
      <c r="C8" s="4" t="inlineStr">
        <is>
          <t>Ván khuôn móng</t>
        </is>
      </c>
      <c r="D8" s="37">
        <v>2.1</v>
      </c>
      <c r="E8" s="4"/>
    </row>
  </sheetData>
  <hyperlinks>
    <hyperlink ref="G1" location="'Mục lục'!A134" display="← Mục lục"/>
  </hyperlinks>
  <pageMargins left="0.7" right="0.7" top="0.75" bottom="0.75" header="0.3" footer="0.3"/>
</worksheet>
</file>

<file path=xl/worksheets/sheet120.xml><?xml version="1.0" encoding="utf-8"?>
<worksheet xmlns="http://schemas.openxmlformats.org/spreadsheetml/2006/main" xmlns:r="http://schemas.openxmlformats.org/officeDocument/2006/relationships">
  <dimension ref="A1:F10"/>
  <sheetViews>
    <sheetView workbookViewId="0"/>
  </sheetViews>
  <sheetFormatPr defaultRowHeight="15"/>
  <cols>
    <col min="1" max="1" width="10.00" customWidth="1"/>
    <col min="2" max="2" width="34.00" customWidth="1"/>
    <col min="3" max="3" width="9.00" customWidth="1"/>
    <col min="4" max="4" width="13.00" customWidth="1"/>
    <col min="6" max="6" width="12.00" customWidth="1"/>
  </cols>
  <sheetData>
    <row r="1">
      <c r="A1" s="1" t="inlineStr">
        <is>
          <t>BẢNG ĐƠN GIÁ CHI TIẾT — PHẦN MÓNG</t>
        </is>
      </c>
      <c r="F1" s="105" t="inlineStr">
        <is>
          <t>← Mục lục</t>
        </is>
      </c>
    </row>
    <row r="4">
      <c r="A4" s="3" t="inlineStr">
        <is>
          <t>Mã hiệu</t>
        </is>
      </c>
      <c r="B4" s="3" t="inlineStr">
        <is>
          <t>Tên công việc</t>
        </is>
      </c>
      <c r="C4" s="3" t="inlineStr">
        <is>
          <t>Đơn vị</t>
        </is>
      </c>
      <c r="D4" s="3" t="inlineStr">
        <is>
          <t>Đơn giá</t>
        </is>
      </c>
    </row>
    <row r="5">
      <c r="A5" s="4" t="inlineStr">
        <is>
          <t>AB.11213</t>
        </is>
      </c>
      <c r="B5" s="4" t="inlineStr">
        <is>
          <t>Đào móng thủ công, đất cấp III</t>
        </is>
      </c>
      <c r="C5" s="6" t="inlineStr">
        <is>
          <t>m³</t>
        </is>
      </c>
      <c r="D5" s="33">
        <v>285000</v>
      </c>
    </row>
    <row r="6">
      <c r="A6" s="4" t="inlineStr">
        <is>
          <t>AF.11120</t>
        </is>
      </c>
      <c r="B6" s="4" t="inlineStr">
        <is>
          <t>Bê tông lót móng M100</t>
        </is>
      </c>
      <c r="C6" s="6" t="inlineStr">
        <is>
          <t>m³</t>
        </is>
      </c>
      <c r="D6" s="33">
        <v>1320000</v>
      </c>
    </row>
    <row r="7">
      <c r="A7" s="4" t="inlineStr">
        <is>
          <t>AB.13112</t>
        </is>
      </c>
      <c r="B7" s="4" t="inlineStr">
        <is>
          <t>Đắp đất hố móng, độ chặt K = 0,90</t>
        </is>
      </c>
      <c r="C7" s="6" t="inlineStr">
        <is>
          <t>m³</t>
        </is>
      </c>
      <c r="D7" s="33">
        <v>96000</v>
      </c>
    </row>
    <row r="8">
      <c r="A8" s="4" t="inlineStr">
        <is>
          <t>AF.11220</t>
        </is>
      </c>
      <c r="B8" s="4" t="inlineStr">
        <is>
          <t>Bê tông móng M250</t>
        </is>
      </c>
      <c r="C8" s="6" t="inlineStr">
        <is>
          <t>m³</t>
        </is>
      </c>
      <c r="D8" s="33">
        <v>1850000</v>
      </c>
    </row>
    <row r="9">
      <c r="A9" s="4" t="inlineStr">
        <is>
          <t>AF.61120</t>
        </is>
      </c>
      <c r="B9" s="4" t="inlineStr">
        <is>
          <t>Cốt thép móng d ≤ 18 mm</t>
        </is>
      </c>
      <c r="C9" s="6" t="inlineStr">
        <is>
          <t>tấn</t>
        </is>
      </c>
      <c r="D9" s="33">
        <v>21500000</v>
      </c>
    </row>
    <row r="10">
      <c r="A10" s="4" t="inlineStr">
        <is>
          <t>AF.81122</t>
        </is>
      </c>
      <c r="B10" s="4" t="inlineStr">
        <is>
          <t>Ván khuôn móng</t>
        </is>
      </c>
      <c r="C10" s="6" t="inlineStr">
        <is>
          <t>100 m²</t>
        </is>
      </c>
      <c r="D10" s="33">
        <v>7650000</v>
      </c>
    </row>
  </sheetData>
  <hyperlinks>
    <hyperlink ref="F1" location="'Mục lục'!A134" display="← Mục lục"/>
  </hyperlinks>
  <pageMargins left="0.7" right="0.7" top="0.75" bottom="0.75" header="0.3" footer="0.3"/>
</worksheet>
</file>

<file path=xl/worksheets/sheet121.xml><?xml version="1.0" encoding="utf-8"?>
<worksheet xmlns="http://schemas.openxmlformats.org/spreadsheetml/2006/main" xmlns:r="http://schemas.openxmlformats.org/officeDocument/2006/relationships">
  <dimension ref="A1:I8"/>
  <sheetViews>
    <sheetView workbookViewId="0">
      <selection activeCell="G4" sqref="G4:G8"/>
    </sheetView>
  </sheetViews>
  <sheetFormatPr defaultRowHeight="15"/>
  <cols>
    <col min="1" max="1" width="4.00" customWidth="1"/>
    <col min="2" max="2" width="20.00" customWidth="1"/>
    <col min="3" max="3" width="7.00" customWidth="1"/>
    <col min="4" max="4" width="8.00" customWidth="1"/>
    <col min="5" max="5" width="8.00" customWidth="1"/>
    <col min="6" max="6" width="8.00" customWidth="1"/>
    <col min="7" max="7" width="12.00" customWidth="1"/>
    <col min="9" max="9" width="12.00" customWidth="1"/>
  </cols>
  <sheetData>
    <row r="1">
      <c r="A1" s="1" t="inlineStr">
        <is>
          <t>KHỐI LƯỢNG BÊ TÔNG CẤU KIỆN — TẦNG 1</t>
        </is>
      </c>
      <c r="I1" s="105" t="inlineStr">
        <is>
          <t>← Mục lục</t>
        </is>
      </c>
    </row>
    <row r="3">
      <c r="A3" s="3" t="inlineStr">
        <is>
          <t>TT</t>
        </is>
      </c>
      <c r="B3" s="3" t="inlineStr">
        <is>
          <t>Cấu kiện</t>
        </is>
      </c>
      <c r="C3" s="3" t="inlineStr">
        <is>
          <t>Số CK</t>
        </is>
      </c>
      <c r="D3" s="3" t="inlineStr">
        <is>
          <t>Dài (m)</t>
        </is>
      </c>
      <c r="E3" s="3" t="inlineStr">
        <is>
          <t>Rộng (m)</t>
        </is>
      </c>
      <c r="F3" s="3" t="inlineStr">
        <is>
          <t>Cao (m)</t>
        </is>
      </c>
      <c r="G3" s="3" t="inlineStr">
        <is>
          <t>KL (m³)</t>
        </is>
      </c>
    </row>
    <row r="4">
      <c r="A4" s="6">
        <v>1</v>
      </c>
      <c r="B4" s="4" t="inlineStr">
        <is>
          <t>Móng M1</t>
        </is>
      </c>
      <c r="C4" s="4">
        <v>4</v>
      </c>
      <c r="D4" s="37">
        <v>2.45</v>
      </c>
      <c r="E4" s="37">
        <v>2.45</v>
      </c>
      <c r="F4" s="37">
        <v>0.75</v>
      </c>
      <c r="G4" s="57">
        <f>C4*D4*E4*F4</f>
        <v>18.0075</v>
      </c>
    </row>
    <row r="5">
      <c r="A5" s="6">
        <v>2</v>
      </c>
      <c r="B5" s="4" t="inlineStr">
        <is>
          <t>Giằng móng GM1</t>
        </is>
      </c>
      <c r="C5" s="4">
        <v>2</v>
      </c>
      <c r="D5" s="37">
        <v>18.35</v>
      </c>
      <c r="E5" s="37">
        <v>0.35</v>
      </c>
      <c r="F5" s="37">
        <v>0.55</v>
      </c>
      <c r="G5" s="58">
        <f>C5*D5*E5*F5</f>
        <v>7.06475</v>
      </c>
    </row>
    <row r="6">
      <c r="A6" s="6">
        <v>3</v>
      </c>
      <c r="B6" s="4" t="inlineStr">
        <is>
          <t>Cổ cột C1</t>
        </is>
      </c>
      <c r="C6" s="4">
        <v>4</v>
      </c>
      <c r="D6" s="37">
        <v>0.33</v>
      </c>
      <c r="E6" s="37">
        <v>0.33</v>
      </c>
      <c r="F6" s="37">
        <v>1.15</v>
      </c>
      <c r="G6" s="58">
        <f>C6*D6*E6*F6</f>
        <v>0.50094</v>
      </c>
    </row>
    <row r="7">
      <c r="A7" s="6">
        <v>4</v>
      </c>
      <c r="B7" s="4" t="inlineStr">
        <is>
          <t>Dầm D1</t>
        </is>
      </c>
      <c r="C7" s="4">
        <v>6</v>
      </c>
      <c r="D7" s="37">
        <v>5.65</v>
      </c>
      <c r="E7" s="37">
        <v>0.22</v>
      </c>
      <c r="F7" s="37">
        <v>0.45</v>
      </c>
      <c r="G7" s="57">
        <f>C7*D7*E7*F7</f>
        <v>3.3561</v>
      </c>
    </row>
    <row r="8">
      <c r="A8" s="6">
        <v>5</v>
      </c>
      <c r="B8" s="4" t="inlineStr">
        <is>
          <t>Sàn S1</t>
        </is>
      </c>
      <c r="C8" s="4">
        <v>1</v>
      </c>
      <c r="D8" s="37">
        <v>12.45</v>
      </c>
      <c r="E8" s="37">
        <v>7.85</v>
      </c>
      <c r="F8" s="37">
        <v>0.12</v>
      </c>
      <c r="G8" s="57">
        <f>C8*D8*E8*F8</f>
        <v>11.7279</v>
      </c>
    </row>
  </sheetData>
  <hyperlinks>
    <hyperlink ref="I1" location="'Mục lục'!A135" display="← Mục lục"/>
  </hyperlinks>
  <pageMargins left="0.7" right="0.7" top="0.75" bottom="0.75" header="0.3" footer="0.3"/>
</worksheet>
</file>

<file path=xl/worksheets/sheet122.xml><?xml version="1.0" encoding="utf-8"?>
<worksheet xmlns="http://schemas.openxmlformats.org/spreadsheetml/2006/main" xmlns:r="http://schemas.openxmlformats.org/officeDocument/2006/relationships">
  <dimension ref="A1:G8"/>
  <sheetViews>
    <sheetView workbookViewId="0">
      <selection activeCell="E4" sqref="E4:E8"/>
    </sheetView>
  </sheetViews>
  <sheetFormatPr defaultRowHeight="15"/>
  <cols>
    <col min="1" max="1" width="9.00" customWidth="1"/>
    <col min="2" max="2" width="11.00" customWidth="1"/>
    <col min="3" max="3" width="9.00" customWidth="1"/>
    <col min="4" max="4" width="13.00" customWidth="1"/>
    <col min="5" max="5" width="14.00" customWidth="1"/>
    <col min="7" max="7" width="12.00" customWidth="1"/>
  </cols>
  <sheetData>
    <row r="1">
      <c r="A1" s="1" t="inlineStr">
        <is>
          <t>THỐNG KÊ CỐT THÉP SÀN TẦNG 3</t>
        </is>
      </c>
      <c r="G1" s="105" t="inlineStr">
        <is>
          <t>← Mục lục</t>
        </is>
      </c>
    </row>
    <row r="3">
      <c r="A3" s="3" t="inlineStr">
        <is>
          <t>Ký hiệu</t>
        </is>
      </c>
      <c r="B3" s="3" t="inlineStr">
        <is>
          <t>Đ.kính (mm)</t>
        </is>
      </c>
      <c r="C3" s="3" t="inlineStr">
        <is>
          <t>Số thanh</t>
        </is>
      </c>
      <c r="D3" s="3" t="inlineStr">
        <is>
          <t>Dài 1 thanh (m)</t>
        </is>
      </c>
      <c r="E3" s="3" t="inlineStr">
        <is>
          <t>Khối lượng (kg)</t>
        </is>
      </c>
    </row>
    <row r="4">
      <c r="A4" s="6" t="inlineStr">
        <is>
          <t>S1</t>
        </is>
      </c>
      <c r="B4" s="4">
        <v>10</v>
      </c>
      <c r="C4" s="4">
        <v>45</v>
      </c>
      <c r="D4" s="37">
        <v>6.2</v>
      </c>
      <c r="E4" s="37">
        <f>C4*D4*VLOOKUP(B4,BANGTHEP!A2:B12,2,0)</f>
        <v>172.14</v>
      </c>
    </row>
    <row r="5">
      <c r="A5" s="6" t="inlineStr">
        <is>
          <t>S2</t>
        </is>
      </c>
      <c r="B5" s="4">
        <v>10</v>
      </c>
      <c r="C5" s="4">
        <v>38</v>
      </c>
      <c r="D5" s="37">
        <v>4.85</v>
      </c>
      <c r="E5" s="37">
        <f>C5*D5*VLOOKUP(B5,BANGTHEP!A2:B12,2,0)</f>
        <v>113.71</v>
      </c>
    </row>
    <row r="6">
      <c r="A6" s="6" t="inlineStr">
        <is>
          <t>S3</t>
        </is>
      </c>
      <c r="B6" s="4">
        <v>12</v>
      </c>
      <c r="C6" s="4">
        <v>26</v>
      </c>
      <c r="D6" s="37">
        <v>7.4</v>
      </c>
      <c r="E6" s="37">
        <f>C6*D6*VLOOKUP(B6,BANGTHEP!A2:B12,2,0)</f>
        <v>170.85</v>
      </c>
    </row>
    <row r="7">
      <c r="A7" s="6" t="inlineStr">
        <is>
          <t>S4</t>
        </is>
      </c>
      <c r="B7" s="4">
        <v>8</v>
      </c>
      <c r="C7" s="4">
        <v>60</v>
      </c>
      <c r="D7" s="37">
        <v>2.35</v>
      </c>
      <c r="E7" s="37">
        <f>C7*D7*VLOOKUP(B7,BANGTHEP!A2:B12,2,0)</f>
        <v>55.7</v>
      </c>
    </row>
    <row r="8">
      <c r="A8" s="6" t="inlineStr">
        <is>
          <t>S5</t>
        </is>
      </c>
      <c r="B8" s="4">
        <v>14</v>
      </c>
      <c r="C8" s="4">
        <v>12</v>
      </c>
      <c r="D8" s="37">
        <v>5.9</v>
      </c>
      <c r="E8" s="37">
        <f>C8*D8*VLOOKUP(B8,BANGTHEP!A2:B12,2,0)</f>
        <v>85.67</v>
      </c>
    </row>
  </sheetData>
  <hyperlinks>
    <hyperlink ref="G1" location="'Mục lục'!A136" display="← Mục lục"/>
  </hyperlinks>
  <pageMargins left="0.7" right="0.7" top="0.75" bottom="0.75" header="0.3" footer="0.3"/>
</worksheet>
</file>

<file path=xl/worksheets/sheet123.xml><?xml version="1.0" encoding="utf-8"?>
<worksheet xmlns="http://schemas.openxmlformats.org/spreadsheetml/2006/main" xmlns:r="http://schemas.openxmlformats.org/officeDocument/2006/relationships">
  <dimension ref="A1:D12"/>
  <sheetViews>
    <sheetView workbookViewId="0"/>
  </sheetViews>
  <sheetFormatPr defaultRowHeight="15"/>
  <cols>
    <col min="1" max="1" width="13.00" customWidth="1"/>
    <col min="2" max="2" width="10.00" customWidth="1"/>
    <col min="4" max="4" width="12.00" customWidth="1"/>
  </cols>
  <sheetData>
    <row r="1">
      <c r="A1" s="3" t="inlineStr">
        <is>
          <t>Đ.kính (mm)</t>
        </is>
      </c>
      <c r="B1" s="3" t="inlineStr">
        <is>
          <t>kg/m</t>
        </is>
      </c>
      <c r="D1" s="105" t="inlineStr">
        <is>
          <t>← Mục lục</t>
        </is>
      </c>
    </row>
    <row r="2">
      <c r="A2" s="4">
        <v>6</v>
      </c>
      <c r="B2" s="59">
        <v>0.222</v>
      </c>
    </row>
    <row r="3">
      <c r="A3" s="4">
        <v>8</v>
      </c>
      <c r="B3" s="59">
        <v>0.395</v>
      </c>
    </row>
    <row r="4">
      <c r="A4" s="4">
        <v>10</v>
      </c>
      <c r="B4" s="59">
        <v>0.617</v>
      </c>
    </row>
    <row r="5">
      <c r="A5" s="4">
        <v>12</v>
      </c>
      <c r="B5" s="59">
        <v>0.888</v>
      </c>
    </row>
    <row r="6">
      <c r="A6" s="4">
        <v>14</v>
      </c>
      <c r="B6" s="59">
        <v>1.21</v>
      </c>
    </row>
    <row r="7">
      <c r="A7" s="4">
        <v>16</v>
      </c>
      <c r="B7" s="59">
        <v>1.58</v>
      </c>
    </row>
    <row r="8">
      <c r="A8" s="4">
        <v>18</v>
      </c>
      <c r="B8" s="59">
        <v>2</v>
      </c>
    </row>
    <row r="9">
      <c r="A9" s="4">
        <v>20</v>
      </c>
      <c r="B9" s="59">
        <v>2.47</v>
      </c>
    </row>
    <row r="10">
      <c r="A10" s="4">
        <v>22</v>
      </c>
      <c r="B10" s="59">
        <v>2.98</v>
      </c>
    </row>
    <row r="11">
      <c r="A11" s="4">
        <v>25</v>
      </c>
      <c r="B11" s="59">
        <v>3.85</v>
      </c>
    </row>
    <row r="12">
      <c r="A12" s="4">
        <v>28</v>
      </c>
      <c r="B12" s="59">
        <v>4.83</v>
      </c>
    </row>
  </sheetData>
  <hyperlinks>
    <hyperlink ref="D1" location="'Mục lục'!A136" display="← Mục lục"/>
  </hyperlinks>
  <pageMargins left="0.7" right="0.7" top="0.75" bottom="0.75" header="0.3" footer="0.3"/>
</worksheet>
</file>

<file path=xl/worksheets/sheet124.xml><?xml version="1.0" encoding="utf-8"?>
<worksheet xmlns="http://schemas.openxmlformats.org/spreadsheetml/2006/main" xmlns:r="http://schemas.openxmlformats.org/officeDocument/2006/relationships">
  <dimension ref="A1:G9"/>
  <sheetViews>
    <sheetView workbookViewId="0">
      <selection activeCell="E4" sqref="E4:E9"/>
    </sheetView>
  </sheetViews>
  <sheetFormatPr defaultRowHeight="15"/>
  <cols>
    <col min="1" max="1" width="5.00" customWidth="1"/>
    <col min="2" max="2" width="32.00" customWidth="1"/>
    <col min="3" max="3" width="10.00" customWidth="1"/>
    <col min="4" max="4" width="12.00" customWidth="1"/>
    <col min="5" max="5" width="15.00" customWidth="1"/>
    <col min="7" max="7" width="12.00" customWidth="1"/>
  </cols>
  <sheetData>
    <row r="1">
      <c r="A1" s="1" t="inlineStr">
        <is>
          <t>BẢNG TỔNG HỢP KINH PHÍ — NHÀ VĂN PHÒNG 9 TẦNG</t>
        </is>
      </c>
      <c r="G1" s="105" t="inlineStr">
        <is>
          <t>← Mục lục</t>
        </is>
      </c>
    </row>
    <row r="3">
      <c r="A3" s="3" t="inlineStr">
        <is>
          <t>TT</t>
        </is>
      </c>
      <c r="B3" s="3" t="inlineStr">
        <is>
          <t>Hạng mục</t>
        </is>
      </c>
      <c r="C3" s="3" t="inlineStr">
        <is>
          <t>Khối lượng</t>
        </is>
      </c>
      <c r="D3" s="3" t="inlineStr">
        <is>
          <t>Đơn giá</t>
        </is>
      </c>
      <c r="E3" s="3" t="inlineStr">
        <is>
          <t>Thành tiền</t>
        </is>
      </c>
    </row>
    <row r="4">
      <c r="A4" s="31" t="inlineStr">
        <is>
          <t>I</t>
        </is>
      </c>
      <c r="B4" s="25" t="inlineStr">
        <is>
          <t>PHẦN MÓNG</t>
        </is>
      </c>
      <c r="C4" s="4"/>
      <c r="D4" s="4"/>
      <c r="E4" s="39">
        <f>SUM(E5:E7)</f>
        <v>206033000.0</v>
      </c>
    </row>
    <row r="5">
      <c r="A5" s="6">
        <v>1</v>
      </c>
      <c r="B5" s="4" t="inlineStr">
        <is>
          <t>Bê tông lót móng M100</t>
        </is>
      </c>
      <c r="C5" s="37">
        <v>12.4</v>
      </c>
      <c r="D5" s="15">
        <v>1320000</v>
      </c>
      <c r="E5" s="15">
        <f>C5*D5</f>
        <v>16368000.0</v>
      </c>
    </row>
    <row r="6">
      <c r="A6" s="6">
        <v>2</v>
      </c>
      <c r="B6" s="4" t="inlineStr">
        <is>
          <t>Bê tông móng M250</t>
        </is>
      </c>
      <c r="C6" s="37">
        <v>86.5</v>
      </c>
      <c r="D6" s="15">
        <v>1850000</v>
      </c>
      <c r="E6" s="15">
        <f>C6*D6</f>
        <v>160025000.0</v>
      </c>
    </row>
    <row r="7">
      <c r="A7" s="6">
        <v>3</v>
      </c>
      <c r="B7" s="4" t="inlineStr">
        <is>
          <t>Ván khuôn móng</t>
        </is>
      </c>
      <c r="C7" s="37">
        <v>4.75</v>
      </c>
      <c r="D7" s="15">
        <v>6240000</v>
      </c>
      <c r="E7" s="15">
        <f>C7*D7</f>
        <v>29640000.0</v>
      </c>
    </row>
    <row r="8">
      <c r="A8" s="31" t="inlineStr">
        <is>
          <t>II</t>
        </is>
      </c>
      <c r="B8" s="25" t="inlineStr">
        <is>
          <t>PHẦN THÂN</t>
        </is>
      </c>
      <c r="C8" s="4"/>
      <c r="D8" s="4"/>
      <c r="E8" s="39">
        <f>SUM(E9:E9)</f>
        <v>242350000.0</v>
      </c>
    </row>
    <row r="9">
      <c r="A9" s="6">
        <v>1</v>
      </c>
      <c r="B9" s="4" t="inlineStr">
        <is>
          <t>Bê tông cột, dầm, sàn M300</t>
        </is>
      </c>
      <c r="C9" s="37">
        <v>131</v>
      </c>
      <c r="D9" s="15">
        <v>1850000</v>
      </c>
      <c r="E9" s="15">
        <f>C9*D9</f>
        <v>242350000.0</v>
      </c>
    </row>
  </sheetData>
  <hyperlinks>
    <hyperlink ref="G1" location="'Mục lục'!A137" display="← Mục lục"/>
  </hyperlinks>
  <pageMargins left="0.7" right="0.7" top="0.75" bottom="0.75" header="0.3" footer="0.3"/>
</worksheet>
</file>

<file path=xl/worksheets/sheet125.xml><?xml version="1.0" encoding="utf-8"?>
<worksheet xmlns="http://schemas.openxmlformats.org/spreadsheetml/2006/main" xmlns:r="http://schemas.openxmlformats.org/officeDocument/2006/relationships">
  <dimension ref="A1:G9"/>
  <sheetViews>
    <sheetView workbookViewId="0">
      <selection activeCell="B4" sqref="B4"/>
    </sheetView>
  </sheetViews>
  <sheetFormatPr defaultRowHeight="15"/>
  <cols>
    <col min="1" max="1" width="13.00" customWidth="1"/>
    <col min="2" max="2" width="12.00" customWidth="1"/>
    <col min="3" max="3" width="13.00" customWidth="1"/>
    <col min="4" max="4" width="12.00" customWidth="1"/>
    <col min="5" max="5" width="18.00" customWidth="1"/>
    <col min="7" max="7" width="12.00" customWidth="1"/>
  </cols>
  <sheetData>
    <row r="1">
      <c r="A1" s="1" t="inlineStr">
        <is>
          <t>TIẾN ĐỘ ĐỔ BÊ TÔNG SÀN TẦNG 3</t>
        </is>
      </c>
      <c r="G1" s="105" t="inlineStr">
        <is>
          <t>← Mục lục</t>
        </is>
      </c>
    </row>
    <row r="3">
      <c r="A3" s="3" t="inlineStr">
        <is>
          <t>Tên Shape</t>
        </is>
      </c>
      <c r="B3" s="3" t="inlineStr">
        <is>
          <t>Mã màu</t>
        </is>
      </c>
      <c r="C3" s="3" t="inlineStr">
        <is>
          <t>Trạng thái</t>
        </is>
      </c>
      <c r="D3" s="3" t="inlineStr">
        <is>
          <t>Ngày đổ</t>
        </is>
      </c>
      <c r="E3" s="3" t="inlineStr">
        <is>
          <t>Vị trí</t>
        </is>
      </c>
    </row>
    <row r="4">
      <c r="A4" s="4" t="inlineStr">
        <is>
          <t>O_A1</t>
        </is>
      </c>
      <c r="B4" s="4">
        <f>IF(C4="Đã đổ",5296274,IF(C4="Đang TC",65535,12632256))</f>
        <v>5296274.0</v>
      </c>
      <c r="C4" s="4" t="inlineStr">
        <is>
          <t>Đã đổ</t>
        </is>
      </c>
      <c r="D4" s="5">
        <v>46283</v>
      </c>
      <c r="E4" s="4" t="inlineStr">
        <is>
          <t>Trục 1–2 × A–B</t>
        </is>
      </c>
    </row>
    <row r="5">
      <c r="A5" s="4" t="inlineStr">
        <is>
          <t>O_A2</t>
        </is>
      </c>
      <c r="B5" s="4">
        <f>IF(C5="Đã đổ",5296274,IF(C5="Đang TC",65535,12632256))</f>
        <v>5296274.0</v>
      </c>
      <c r="C5" s="4" t="inlineStr">
        <is>
          <t>Đã đổ</t>
        </is>
      </c>
      <c r="D5" s="5">
        <v>46283</v>
      </c>
      <c r="E5" s="4" t="inlineStr">
        <is>
          <t>Trục 2–3 × A–B</t>
        </is>
      </c>
    </row>
    <row r="6">
      <c r="A6" s="4" t="inlineStr">
        <is>
          <t>O_B1</t>
        </is>
      </c>
      <c r="B6" s="4">
        <f>IF(C6="Đã đổ",5296274,IF(C6="Đang TC",65535,12632256))</f>
        <v>65535.0</v>
      </c>
      <c r="C6" s="4" t="inlineStr">
        <is>
          <t>Đang TC</t>
        </is>
      </c>
      <c r="D6" s="5">
        <v>46303</v>
      </c>
      <c r="E6" s="4" t="inlineStr">
        <is>
          <t>Trục 1–2 × B–C</t>
        </is>
      </c>
    </row>
    <row r="7">
      <c r="A7" s="4" t="inlineStr">
        <is>
          <t>O_B2</t>
        </is>
      </c>
      <c r="B7" s="4">
        <f>IF(C7="Đã đổ",5296274,IF(C7="Đang TC",65535,12632256))</f>
        <v>65535.0</v>
      </c>
      <c r="C7" s="4" t="inlineStr">
        <is>
          <t>Đang TC</t>
        </is>
      </c>
      <c r="D7" s="5">
        <v>46303</v>
      </c>
      <c r="E7" s="4" t="inlineStr">
        <is>
          <t>Trục 2–3 × B–C</t>
        </is>
      </c>
    </row>
    <row r="8">
      <c r="A8" s="4" t="inlineStr">
        <is>
          <t>O_C1</t>
        </is>
      </c>
      <c r="B8" s="4">
        <f>IF(C8="Đã đổ",5296274,IF(C8="Đang TC",65535,12632256))</f>
        <v>12632256.0</v>
      </c>
      <c r="C8" s="4" t="inlineStr">
        <is>
          <t>Chưa TC</t>
        </is>
      </c>
      <c r="D8" s="4"/>
      <c r="E8" s="4" t="inlineStr">
        <is>
          <t>Trục 1–2 × C–D</t>
        </is>
      </c>
    </row>
    <row r="9">
      <c r="A9" s="4" t="inlineStr">
        <is>
          <t>O_C2</t>
        </is>
      </c>
      <c r="B9" s="4">
        <f>IF(C9="Đã đổ",5296274,IF(C9="Đang TC",65535,12632256))</f>
        <v>12632256.0</v>
      </c>
      <c r="C9" s="4" t="inlineStr">
        <is>
          <t>Chưa TC</t>
        </is>
      </c>
      <c r="D9" s="4"/>
      <c r="E9" s="4" t="inlineStr">
        <is>
          <t>Trục 2–3 × C–D</t>
        </is>
      </c>
    </row>
  </sheetData>
  <hyperlinks>
    <hyperlink ref="G1" location="'Mục lục'!A138" display="← Mục lục"/>
  </hyperlinks>
  <pageMargins left="0.7" right="0.7" top="0.75" bottom="0.75" header="0.3" footer="0.3"/>
</worksheet>
</file>

<file path=xl/worksheets/sheet126.xml><?xml version="1.0" encoding="utf-8"?>
<worksheet xmlns="http://schemas.openxmlformats.org/spreadsheetml/2006/main" xmlns:r="http://schemas.openxmlformats.org/officeDocument/2006/relationships">
  <dimension ref="A1:I7"/>
  <sheetViews>
    <sheetView workbookViewId="0">
      <selection activeCell="C4" sqref="C4:G7"/>
    </sheetView>
  </sheetViews>
  <sheetFormatPr defaultRowHeight="15"/>
  <cols>
    <col min="1" max="1" width="11.00" customWidth="1"/>
    <col min="2" max="2" width="8.00" customWidth="1"/>
    <col min="3" max="3" width="10.00" customWidth="1"/>
    <col min="4" max="4" width="10.00" customWidth="1"/>
    <col min="5" max="5" width="10.00" customWidth="1"/>
    <col min="6" max="6" width="10.00" customWidth="1"/>
    <col min="7" max="7" width="10.00" customWidth="1"/>
    <col min="9" max="9" width="12.00" customWidth="1"/>
  </cols>
  <sheetData>
    <row r="1">
      <c r="A1" s="1" t="inlineStr">
        <is>
          <t>TIẾN ĐỘ ĐỔ SÀN TẦNG 5 THEO TUẦN</t>
        </is>
      </c>
      <c r="I1" s="105" t="inlineStr">
        <is>
          <t>← Mục lục</t>
        </is>
      </c>
    </row>
    <row r="2">
      <c r="A2" s="3" t="inlineStr">
        <is>
          <t>Phân khu</t>
        </is>
      </c>
      <c r="B2" s="3" t="inlineStr">
        <is>
          <t>Tuần đổ</t>
        </is>
      </c>
      <c r="C2" s="3" t="inlineStr">
        <is>
          <t>Tuần thi công</t>
        </is>
      </c>
      <c r="D2" s="4"/>
      <c r="E2" s="4"/>
      <c r="F2" s="4"/>
      <c r="G2" s="4"/>
    </row>
    <row r="3">
      <c r="A3" s="4"/>
      <c r="B3" s="4"/>
      <c r="C3" s="3">
        <v>1</v>
      </c>
      <c r="D3" s="3">
        <v>2</v>
      </c>
      <c r="E3" s="3">
        <v>3</v>
      </c>
      <c r="F3" s="3">
        <v>4</v>
      </c>
      <c r="G3" s="3">
        <v>5</v>
      </c>
    </row>
    <row r="4">
      <c r="A4" s="4" t="inlineStr">
        <is>
          <t>S1</t>
        </is>
      </c>
      <c r="B4" s="6">
        <v>2</v>
      </c>
      <c r="C4" s="4">
        <f>IF(C$3&lt;$B4,12632256,IF(C$3=$B4,65535,5296274))</f>
        <v>12632256.0</v>
      </c>
      <c r="D4" s="4">
        <f>IF(D$3&lt;$B4,12632256,IF(D$3=$B4,65535,5296274))</f>
        <v>65535.0</v>
      </c>
      <c r="E4" s="4">
        <f>IF(E$3&lt;$B4,12632256,IF(E$3=$B4,65535,5296274))</f>
        <v>5296274.0</v>
      </c>
      <c r="F4" s="4">
        <f>IF(F$3&lt;$B4,12632256,IF(F$3=$B4,65535,5296274))</f>
        <v>5296274.0</v>
      </c>
      <c r="G4" s="4">
        <f>IF(G$3&lt;$B4,12632256,IF(G$3=$B4,65535,5296274))</f>
        <v>5296274.0</v>
      </c>
    </row>
    <row r="5">
      <c r="A5" s="4" t="inlineStr">
        <is>
          <t>S2</t>
        </is>
      </c>
      <c r="B5" s="6">
        <v>3</v>
      </c>
      <c r="C5" s="4">
        <f>IF(C$3&lt;$B5,12632256,IF(C$3=$B5,65535,5296274))</f>
        <v>12632256.0</v>
      </c>
      <c r="D5" s="4">
        <f>IF(D$3&lt;$B5,12632256,IF(D$3=$B5,65535,5296274))</f>
        <v>12632256.0</v>
      </c>
      <c r="E5" s="4">
        <f>IF(E$3&lt;$B5,12632256,IF(E$3=$B5,65535,5296274))</f>
        <v>65535.0</v>
      </c>
      <c r="F5" s="4">
        <f>IF(F$3&lt;$B5,12632256,IF(F$3=$B5,65535,5296274))</f>
        <v>5296274.0</v>
      </c>
      <c r="G5" s="4">
        <f>IF(G$3&lt;$B5,12632256,IF(G$3=$B5,65535,5296274))</f>
        <v>5296274.0</v>
      </c>
    </row>
    <row r="6">
      <c r="A6" s="4" t="inlineStr">
        <is>
          <t>S3</t>
        </is>
      </c>
      <c r="B6" s="6">
        <v>4</v>
      </c>
      <c r="C6" s="4">
        <f>IF(C$3&lt;$B6,12632256,IF(C$3=$B6,65535,5296274))</f>
        <v>12632256.0</v>
      </c>
      <c r="D6" s="4">
        <f>IF(D$3&lt;$B6,12632256,IF(D$3=$B6,65535,5296274))</f>
        <v>12632256.0</v>
      </c>
      <c r="E6" s="4">
        <f>IF(E$3&lt;$B6,12632256,IF(E$3=$B6,65535,5296274))</f>
        <v>12632256.0</v>
      </c>
      <c r="F6" s="4">
        <f>IF(F$3&lt;$B6,12632256,IF(F$3=$B6,65535,5296274))</f>
        <v>65535.0</v>
      </c>
      <c r="G6" s="4">
        <f>IF(G$3&lt;$B6,12632256,IF(G$3=$B6,65535,5296274))</f>
        <v>5296274.0</v>
      </c>
    </row>
    <row r="7">
      <c r="A7" s="4" t="inlineStr">
        <is>
          <t>S4</t>
        </is>
      </c>
      <c r="B7" s="6">
        <v>5</v>
      </c>
      <c r="C7" s="4">
        <f>IF(C$3&lt;$B7,12632256,IF(C$3=$B7,65535,5296274))</f>
        <v>12632256.0</v>
      </c>
      <c r="D7" s="4">
        <f>IF(D$3&lt;$B7,12632256,IF(D$3=$B7,65535,5296274))</f>
        <v>12632256.0</v>
      </c>
      <c r="E7" s="4">
        <f>IF(E$3&lt;$B7,12632256,IF(E$3=$B7,65535,5296274))</f>
        <v>12632256.0</v>
      </c>
      <c r="F7" s="4">
        <f>IF(F$3&lt;$B7,12632256,IF(F$3=$B7,65535,5296274))</f>
        <v>12632256.0</v>
      </c>
      <c r="G7" s="4">
        <f>IF(G$3&lt;$B7,12632256,IF(G$3=$B7,65535,5296274))</f>
        <v>65535.0</v>
      </c>
    </row>
  </sheetData>
  <mergeCells count="3">
    <mergeCell ref="C2:G2"/>
    <mergeCell ref="A2:A3"/>
    <mergeCell ref="B2:B3"/>
  </mergeCells>
  <hyperlinks>
    <hyperlink ref="I1" location="'Mục lục'!A139" display="← Mục lục"/>
  </hyperlinks>
  <pageMargins left="0.7" right="0.7" top="0.75" bottom="0.75" header="0.3" footer="0.3"/>
</worksheet>
</file>

<file path=xl/worksheets/sheet127.xml><?xml version="1.0" encoding="utf-8"?>
<worksheet xmlns="http://schemas.openxmlformats.org/spreadsheetml/2006/main" xmlns:r="http://schemas.openxmlformats.org/officeDocument/2006/relationships">
  <dimension ref="A1:D3"/>
  <sheetViews>
    <sheetView workbookViewId="0">
      <selection activeCell="A4" sqref="A4"/>
    </sheetView>
  </sheetViews>
  <sheetFormatPr defaultRowHeight="15"/>
  <cols>
    <col min="1" max="1" width="18.00" customWidth="1"/>
    <col min="2" max="2" width="14.00" customWidth="1"/>
    <col min="4" max="4" width="12.00" customWidth="1"/>
  </cols>
  <sheetData>
    <row r="1">
      <c r="A1" s="1" t="inlineStr">
        <is>
          <t>DANH SÁCH SHAPE — MB TẦNG 3</t>
        </is>
      </c>
      <c r="D1" s="105" t="inlineStr">
        <is>
          <t>← Mục lục</t>
        </is>
      </c>
    </row>
    <row r="3">
      <c r="A3" s="60" t="inlineStr">
        <is>
          <t>Tên Shape</t>
        </is>
      </c>
    </row>
  </sheetData>
  <hyperlinks>
    <hyperlink ref="D1" location="'Mục lục'!A140" display="← Mục lục"/>
  </hyperlinks>
  <pageMargins left="0.7" right="0.7" top="0.75" bottom="0.75" header="0.3" footer="0.3"/>
</worksheet>
</file>

<file path=xl/worksheets/sheet128.xml><?xml version="1.0" encoding="utf-8"?>
<worksheet xmlns="http://schemas.openxmlformats.org/spreadsheetml/2006/main" xmlns:r="http://schemas.openxmlformats.org/officeDocument/2006/relationships">
  <dimension ref="A1:D8"/>
  <sheetViews>
    <sheetView workbookViewId="0">
      <selection activeCell="A4" sqref="A4:B8"/>
    </sheetView>
  </sheetViews>
  <sheetFormatPr defaultRowHeight="15"/>
  <cols>
    <col min="1" max="1" width="16.00" customWidth="1"/>
    <col min="2" max="2" width="14.00" customWidth="1"/>
    <col min="4" max="4" width="12.00" customWidth="1"/>
  </cols>
  <sheetData>
    <row r="1">
      <c r="A1" s="1" t="inlineStr">
        <is>
          <t>ĐỔI TÊN ĐÀI MÓNG</t>
        </is>
      </c>
      <c r="D1" s="105" t="inlineStr">
        <is>
          <t>← Mục lục</t>
        </is>
      </c>
    </row>
    <row r="3">
      <c r="A3" s="3" t="inlineStr">
        <is>
          <t>Tên cũ</t>
        </is>
      </c>
      <c r="B3" s="3" t="inlineStr">
        <is>
          <t>Tên mới</t>
        </is>
      </c>
    </row>
    <row r="4">
      <c r="A4" s="4" t="inlineStr">
        <is>
          <t>Rectangle 12</t>
        </is>
      </c>
      <c r="B4" s="4" t="inlineStr">
        <is>
          <t>DM_A1</t>
        </is>
      </c>
    </row>
    <row r="5">
      <c r="A5" s="4" t="inlineStr">
        <is>
          <t>Rectangle 13</t>
        </is>
      </c>
      <c r="B5" s="4" t="inlineStr">
        <is>
          <t>DM_A2</t>
        </is>
      </c>
    </row>
    <row r="6">
      <c r="A6" s="4" t="inlineStr">
        <is>
          <t>Rectangle 14</t>
        </is>
      </c>
      <c r="B6" s="4" t="inlineStr">
        <is>
          <t>DM_B1</t>
        </is>
      </c>
    </row>
    <row r="7">
      <c r="A7" s="4" t="inlineStr">
        <is>
          <t>Rectangle 15</t>
        </is>
      </c>
      <c r="B7" s="4" t="inlineStr">
        <is>
          <t>DM_B2</t>
        </is>
      </c>
    </row>
    <row r="8">
      <c r="A8" s="4" t="inlineStr">
        <is>
          <t>Rectangle 16</t>
        </is>
      </c>
      <c r="B8" s="4" t="inlineStr">
        <is>
          <t>DM_C1</t>
        </is>
      </c>
    </row>
  </sheetData>
  <hyperlinks>
    <hyperlink ref="D1" location="'Mục lục'!A141" display="← Mục lục"/>
  </hyperlinks>
  <pageMargins left="0.7" right="0.7" top="0.75" bottom="0.75" header="0.3" footer="0.3"/>
</worksheet>
</file>

<file path=xl/worksheets/sheet129.xml><?xml version="1.0" encoding="utf-8"?>
<worksheet xmlns="http://schemas.openxmlformats.org/spreadsheetml/2006/main" xmlns:r="http://schemas.openxmlformats.org/officeDocument/2006/relationships">
  <dimension ref="A1:D7"/>
  <sheetViews>
    <sheetView workbookViewId="0">
      <selection activeCell="A4" sqref="A4:A7"/>
    </sheetView>
  </sheetViews>
  <sheetFormatPr defaultRowHeight="15"/>
  <cols>
    <col min="1" max="1" width="18.00" customWidth="1"/>
    <col min="2" max="2" width="14.00" customWidth="1"/>
    <col min="4" max="4" width="12.00" customWidth="1"/>
  </cols>
  <sheetData>
    <row r="1">
      <c r="A1" s="1" t="inlineStr">
        <is>
          <t>TOẠ ĐỘ CÁC KHỐI LÁN TRẠI</t>
        </is>
      </c>
      <c r="D1" s="105" t="inlineStr">
        <is>
          <t>← Mục lục</t>
        </is>
      </c>
    </row>
    <row r="3">
      <c r="A3" s="3" t="inlineStr">
        <is>
          <t>Tên Shape</t>
        </is>
      </c>
      <c r="B3" s="3" t="inlineStr">
        <is>
          <t>Top;Left</t>
        </is>
      </c>
    </row>
    <row r="4">
      <c r="A4" s="4" t="inlineStr">
        <is>
          <t>LanTrai_BCH</t>
        </is>
      </c>
      <c r="B4" s="4"/>
    </row>
    <row r="5">
      <c r="A5" s="4" t="inlineStr">
        <is>
          <t>KhoVatTu</t>
        </is>
      </c>
      <c r="B5" s="4"/>
    </row>
    <row r="6">
      <c r="A6" s="4" t="inlineStr">
        <is>
          <t>BaiDucCauKien</t>
        </is>
      </c>
      <c r="B6" s="4"/>
    </row>
    <row r="7">
      <c r="A7" s="4" t="inlineStr">
        <is>
          <t>CongChinh</t>
        </is>
      </c>
      <c r="B7" s="4"/>
    </row>
  </sheetData>
  <hyperlinks>
    <hyperlink ref="D1" location="'Mục lục'!A143" display="← Mục lục"/>
  </hyperlinks>
  <pageMargins left="0.7" right="0.7" top="0.75" bottom="0.75" header="0.3" footer="0.3"/>
</worksheet>
</file>

<file path=xl/worksheets/sheet130.xml><?xml version="1.0" encoding="utf-8"?>
<worksheet xmlns="http://schemas.openxmlformats.org/spreadsheetml/2006/main" xmlns:r="http://schemas.openxmlformats.org/officeDocument/2006/relationships">
  <dimension ref="A1:E15"/>
  <sheetViews>
    <sheetView workbookViewId="0">
      <selection activeCell="A4" sqref="A4:C15"/>
    </sheetView>
  </sheetViews>
  <sheetFormatPr defaultRowHeight="15"/>
  <cols>
    <col min="1" max="1" width="8.00" customWidth="1"/>
    <col min="2" max="2" width="12.00" customWidth="1"/>
    <col min="3" max="3" width="14.00" customWidth="1"/>
    <col min="5" max="5" width="12.00" customWidth="1"/>
  </cols>
  <sheetData>
    <row r="1">
      <c r="A1" s="1" t="inlineStr">
        <is>
          <t>THEO DÕI ĐỔ BÊ TÔNG MÓNG</t>
        </is>
      </c>
      <c r="E1" s="105" t="inlineStr">
        <is>
          <t>← Mục lục</t>
        </is>
      </c>
    </row>
    <row r="3">
      <c r="A3" s="3" t="inlineStr">
        <is>
          <t>Móng</t>
        </is>
      </c>
      <c r="B3" s="3" t="inlineStr">
        <is>
          <t>Mã màu</t>
        </is>
      </c>
      <c r="C3" s="3" t="inlineStr">
        <is>
          <t>Ngày đổ BT</t>
        </is>
      </c>
    </row>
    <row r="4">
      <c r="A4" s="4">
        <v>1</v>
      </c>
      <c r="B4" s="4">
        <v>5296274</v>
      </c>
      <c r="C4" s="5">
        <v>46285</v>
      </c>
    </row>
    <row r="5">
      <c r="A5" s="4">
        <v>2</v>
      </c>
      <c r="B5" s="4">
        <v>5296274</v>
      </c>
      <c r="C5" s="5">
        <v>46286</v>
      </c>
    </row>
    <row r="6">
      <c r="A6" s="4">
        <v>3</v>
      </c>
      <c r="B6" s="4">
        <v>5296274</v>
      </c>
      <c r="C6" s="5">
        <v>46287</v>
      </c>
    </row>
    <row r="7">
      <c r="A7" s="4">
        <v>4</v>
      </c>
      <c r="B7" s="4">
        <v>5296274</v>
      </c>
      <c r="C7" s="5">
        <v>46289</v>
      </c>
    </row>
    <row r="8">
      <c r="A8" s="4">
        <v>5</v>
      </c>
      <c r="B8" s="4">
        <v>5296274</v>
      </c>
      <c r="C8" s="5">
        <v>46291</v>
      </c>
    </row>
    <row r="9">
      <c r="A9" s="4">
        <v>6</v>
      </c>
      <c r="B9" s="4">
        <v>5296274</v>
      </c>
      <c r="C9" s="5">
        <v>46294</v>
      </c>
    </row>
    <row r="10">
      <c r="A10" s="4">
        <v>7</v>
      </c>
      <c r="B10" s="4">
        <v>65535</v>
      </c>
      <c r="C10" s="5">
        <v>46301</v>
      </c>
    </row>
    <row r="11">
      <c r="A11" s="4">
        <v>8</v>
      </c>
      <c r="B11" s="4">
        <v>65535</v>
      </c>
      <c r="C11" s="5">
        <v>46302</v>
      </c>
    </row>
    <row r="12">
      <c r="A12" s="4">
        <v>9</v>
      </c>
      <c r="B12" s="4">
        <v>12632256</v>
      </c>
      <c r="C12" s="4"/>
    </row>
    <row r="13">
      <c r="A13" s="4">
        <v>10</v>
      </c>
      <c r="B13" s="4">
        <v>12632256</v>
      </c>
      <c r="C13" s="4"/>
    </row>
    <row r="14">
      <c r="A14" s="4">
        <v>11</v>
      </c>
      <c r="B14" s="4">
        <v>12632256</v>
      </c>
      <c r="C14" s="4"/>
    </row>
    <row r="15">
      <c r="A15" s="4">
        <v>12</v>
      </c>
      <c r="B15" s="4">
        <v>12632256</v>
      </c>
      <c r="C15" s="4"/>
    </row>
  </sheetData>
  <hyperlinks>
    <hyperlink ref="E1" location="'Mục lục'!A144" display="← Mục lục"/>
  </hyperlinks>
  <pageMargins left="0.7" right="0.7" top="0.75" bottom="0.75" header="0.3" footer="0.3"/>
</worksheet>
</file>

<file path=xl/worksheets/sheet131.xml><?xml version="1.0" encoding="utf-8"?>
<worksheet xmlns="http://schemas.openxmlformats.org/spreadsheetml/2006/main" xmlns:r="http://schemas.openxmlformats.org/officeDocument/2006/relationships">
  <dimension ref="A1:L12"/>
  <sheetViews>
    <sheetView workbookViewId="0">
      <selection activeCell="C10" sqref="C10"/>
    </sheetView>
  </sheetViews>
  <sheetFormatPr defaultRowHeight="15"/>
  <cols>
    <col min="1" max="1" width="8.00" customWidth="1"/>
    <col min="2" max="2" width="10.00" customWidth="1"/>
    <col min="3" max="3" width="15.00" customWidth="1"/>
    <col min="4" max="4" width="11.00" customWidth="1"/>
    <col min="5" max="5" width="10.00" customWidth="1"/>
    <col min="6" max="6" width="2.00" customWidth="1"/>
    <col min="7" max="7" width="15.00" customWidth="1"/>
    <col min="8" max="8" width="7.00" customWidth="1"/>
    <col min="9" max="9" width="9.00" customWidth="1"/>
    <col min="10" max="10" width="8.00" customWidth="1"/>
    <col min="12" max="12" width="12.00" customWidth="1"/>
  </cols>
  <sheetData>
    <row r="1">
      <c r="A1" s="1" t="inlineStr">
        <is>
          <t>THEO DÕI TIẾN ĐỘ MẶT BẰNG</t>
        </is>
      </c>
      <c r="L1" s="105" t="inlineStr">
        <is>
          <t>← Mục lục</t>
        </is>
      </c>
    </row>
    <row r="2">
      <c r="A2" s="18" t="inlineStr">
        <is>
          <t>Mặt bằng:</t>
        </is>
      </c>
      <c r="B2" s="18" t="inlineStr">
        <is>
          <t>MB cọc</t>
        </is>
      </c>
      <c r="D2" s="18" t="inlineStr">
        <is>
          <t>Ngày dữ liệu:</t>
        </is>
      </c>
      <c r="E2" s="61">
        <v>46303</v>
      </c>
      <c r="G2" s="18" t="inlineStr">
        <is>
          <t>Độ trong suốt (%)</t>
        </is>
      </c>
      <c r="H2" s="18">
        <v>30</v>
      </c>
    </row>
    <row r="3">
      <c r="G3" s="62" t="inlineStr">
        <is>
          <t>Trạng thái</t>
        </is>
      </c>
      <c r="H3" s="62" t="inlineStr">
        <is>
          <t>Màu</t>
        </is>
      </c>
      <c r="I3" s="62" t="inlineStr">
        <is>
          <t>Số lượng</t>
        </is>
      </c>
      <c r="J3" s="62" t="inlineStr">
        <is>
          <t>Tỉ lệ</t>
        </is>
      </c>
    </row>
    <row r="4">
      <c r="A4" s="62" t="inlineStr">
        <is>
          <t>STT</t>
        </is>
      </c>
      <c r="B4" s="62" t="inlineStr">
        <is>
          <t>Tên shape</t>
        </is>
      </c>
      <c r="C4" s="62" t="inlineStr">
        <is>
          <t>Trạng thái</t>
        </is>
      </c>
      <c r="D4" s="62" t="inlineStr">
        <is>
          <t>Ngày</t>
        </is>
      </c>
      <c r="E4" s="62" t="inlineStr">
        <is>
          <t>Ghi chú</t>
        </is>
      </c>
      <c r="G4" s="4" t="inlineStr">
        <is>
          <t>Chưa thi công</t>
        </is>
      </c>
      <c r="H4" s="63"/>
      <c r="I4" s="4">
        <v>3</v>
      </c>
      <c r="J4" s="64">
        <v>0.375</v>
      </c>
    </row>
    <row r="5">
      <c r="A5" s="6">
        <v>1</v>
      </c>
      <c r="B5" s="4" t="inlineStr">
        <is>
          <t>P1</t>
        </is>
      </c>
      <c r="C5" s="4" t="inlineStr">
        <is>
          <t>Đã nghiệm thu</t>
        </is>
      </c>
      <c r="D5" s="12">
        <v>46297</v>
      </c>
      <c r="E5" s="4"/>
      <c r="G5" s="4" t="inlineStr">
        <is>
          <t>Đang thi công</t>
        </is>
      </c>
      <c r="H5" s="65"/>
      <c r="I5" s="4">
        <v>1</v>
      </c>
      <c r="J5" s="64">
        <v>0.125</v>
      </c>
    </row>
    <row r="6">
      <c r="A6" s="6">
        <v>2</v>
      </c>
      <c r="B6" s="4" t="inlineStr">
        <is>
          <t>P2</t>
        </is>
      </c>
      <c r="C6" s="4" t="inlineStr">
        <is>
          <t>Hoàn thành</t>
        </is>
      </c>
      <c r="D6" s="12">
        <v>46298</v>
      </c>
      <c r="E6" s="4"/>
      <c r="G6" s="4" t="inlineStr">
        <is>
          <t>Hoàn thành</t>
        </is>
      </c>
      <c r="H6" s="66"/>
      <c r="I6" s="4">
        <v>3</v>
      </c>
      <c r="J6" s="64">
        <v>0.375</v>
      </c>
    </row>
    <row r="7">
      <c r="A7" s="6">
        <v>3</v>
      </c>
      <c r="B7" s="4" t="inlineStr">
        <is>
          <t>P3</t>
        </is>
      </c>
      <c r="C7" s="4" t="inlineStr">
        <is>
          <t>Hoàn thành</t>
        </is>
      </c>
      <c r="D7" s="12">
        <v>46298</v>
      </c>
      <c r="E7" s="4"/>
      <c r="G7" s="4" t="inlineStr">
        <is>
          <t>Đã nghiệm thu</t>
        </is>
      </c>
      <c r="H7" s="67"/>
      <c r="I7" s="4">
        <v>1</v>
      </c>
      <c r="J7" s="64">
        <v>0.125</v>
      </c>
    </row>
    <row r="8">
      <c r="A8" s="6">
        <v>4</v>
      </c>
      <c r="B8" s="4" t="inlineStr">
        <is>
          <t>P4</t>
        </is>
      </c>
      <c r="C8" s="4" t="inlineStr">
        <is>
          <t>Hoàn thành</t>
        </is>
      </c>
      <c r="D8" s="12">
        <v>46300</v>
      </c>
      <c r="E8" s="4"/>
      <c r="G8" s="4"/>
      <c r="H8" s="4"/>
      <c r="I8" s="4"/>
      <c r="J8" s="4"/>
    </row>
    <row r="9">
      <c r="A9" s="6">
        <v>5</v>
      </c>
      <c r="B9" s="4" t="inlineStr">
        <is>
          <t>P5</t>
        </is>
      </c>
      <c r="C9" s="4" t="inlineStr">
        <is>
          <t>Đang thi công</t>
        </is>
      </c>
      <c r="D9" s="12">
        <v>46303</v>
      </c>
      <c r="E9" s="4" t="inlineStr">
        <is>
          <t>Tổ ép số 2</t>
        </is>
      </c>
      <c r="G9" s="4"/>
      <c r="H9" s="4"/>
      <c r="I9" s="4"/>
      <c r="J9" s="4"/>
    </row>
    <row r="10">
      <c r="A10" s="6">
        <v>6</v>
      </c>
      <c r="B10" s="4" t="inlineStr">
        <is>
          <t>P6</t>
        </is>
      </c>
      <c r="C10" s="4" t="inlineStr">
        <is>
          <t>Chưa thi công</t>
        </is>
      </c>
      <c r="D10" s="4"/>
      <c r="E10" s="4"/>
    </row>
    <row r="11">
      <c r="A11" s="6">
        <v>7</v>
      </c>
      <c r="B11" s="4" t="inlineStr">
        <is>
          <t>P7</t>
        </is>
      </c>
      <c r="C11" s="4" t="inlineStr">
        <is>
          <t>Chưa thi công</t>
        </is>
      </c>
      <c r="D11" s="4"/>
      <c r="E11" s="4"/>
    </row>
    <row r="12">
      <c r="A12" s="6">
        <v>8</v>
      </c>
      <c r="B12" s="4" t="inlineStr">
        <is>
          <t>P8</t>
        </is>
      </c>
      <c r="C12" s="4" t="inlineStr">
        <is>
          <t>Chưa thi công</t>
        </is>
      </c>
      <c r="D12" s="4"/>
      <c r="E12" s="4"/>
    </row>
  </sheetData>
  <hyperlinks>
    <hyperlink ref="L1" location="'Mục lục'!A149" display="← Mục lục"/>
  </hyperlinks>
  <pageMargins left="0.7" right="0.7" top="0.75" bottom="0.75" header="0.3" footer="0.3"/>
</worksheet>
</file>

<file path=xl/worksheets/sheet132.xml><?xml version="1.0" encoding="utf-8"?>
<worksheet xmlns="http://schemas.openxmlformats.org/spreadsheetml/2006/main" xmlns:r="http://schemas.openxmlformats.org/officeDocument/2006/relationships">
  <dimension ref="A1:F6"/>
  <sheetViews>
    <sheetView workbookViewId="0">
      <selection activeCell="D4" sqref="D4:D6"/>
    </sheetView>
  </sheetViews>
  <sheetFormatPr defaultRowHeight="15"/>
  <cols>
    <col min="1" max="1" width="5.00" customWidth="1"/>
    <col min="2" max="2" width="24.00" customWidth="1"/>
    <col min="3" max="3" width="13.00" customWidth="1"/>
    <col min="4" max="4" width="13.00" customWidth="1"/>
    <col min="6" max="6" width="12.00" customWidth="1"/>
  </cols>
  <sheetData>
    <row r="1">
      <c r="A1" s="1" t="inlineStr">
        <is>
          <t>BẢNG MÀU TIẾN ĐỘ — NHÀ VĂN PHÒNG 9 TẦNG</t>
        </is>
      </c>
      <c r="F1" s="105" t="inlineStr">
        <is>
          <t>← Mục lục</t>
        </is>
      </c>
    </row>
    <row r="3">
      <c r="A3" s="3" t="inlineStr">
        <is>
          <t>TT</t>
        </is>
      </c>
      <c r="B3" s="3" t="inlineStr">
        <is>
          <t>Hạng mục</t>
        </is>
      </c>
      <c r="C3" s="3" t="inlineStr">
        <is>
          <t>Màu chuẩn</t>
        </is>
      </c>
      <c r="D3" s="3" t="inlineStr">
        <is>
          <t>Mã màu</t>
        </is>
      </c>
    </row>
    <row r="4">
      <c r="A4" s="6">
        <v>1</v>
      </c>
      <c r="B4" s="4" t="inlineStr">
        <is>
          <t>Phần ngầm</t>
        </is>
      </c>
      <c r="C4" s="68"/>
      <c r="D4" s="68"/>
    </row>
    <row r="5">
      <c r="A5" s="6">
        <v>2</v>
      </c>
      <c r="B5" s="4" t="inlineStr">
        <is>
          <t>Phần thân</t>
        </is>
      </c>
      <c r="C5" s="66"/>
      <c r="D5" s="66"/>
    </row>
    <row r="6">
      <c r="A6" s="6">
        <v>3</v>
      </c>
      <c r="B6" s="4" t="inlineStr">
        <is>
          <t>Hoàn thiện</t>
        </is>
      </c>
      <c r="C6" s="65"/>
      <c r="D6" s="65"/>
    </row>
  </sheetData>
  <hyperlinks>
    <hyperlink ref="F1" location="'Mục lục'!A150" display="← Mục lục"/>
  </hyperlinks>
  <pageMargins left="0.7" right="0.7" top="0.75" bottom="0.75" header="0.3" footer="0.3"/>
</worksheet>
</file>

<file path=xl/worksheets/sheet133.xml><?xml version="1.0" encoding="utf-8"?>
<worksheet xmlns="http://schemas.openxmlformats.org/spreadsheetml/2006/main" xmlns:r="http://schemas.openxmlformats.org/officeDocument/2006/relationships">
  <dimension ref="A1:G5"/>
  <sheetViews>
    <sheetView workbookViewId="0">
      <selection activeCell="E3" sqref="E3"/>
    </sheetView>
  </sheetViews>
  <sheetFormatPr defaultRowHeight="15"/>
  <cols>
    <col min="1" max="1" width="6.00" customWidth="1"/>
    <col min="2" max="2" width="15.00" customWidth="1"/>
    <col min="3" max="3" width="8.00" customWidth="1"/>
    <col min="4" max="4" width="8.00" customWidth="1"/>
    <col min="5" max="5" width="10.00" customWidth="1"/>
    <col min="7" max="7" width="12.00" customWidth="1"/>
  </cols>
  <sheetData>
    <row r="1">
      <c r="A1" s="1" t="inlineStr">
        <is>
          <t>STT</t>
        </is>
      </c>
      <c r="B1" s="1" t="inlineStr">
        <is>
          <t>Timestamp (ms)</t>
        </is>
      </c>
      <c r="C1" s="1" t="inlineStr">
        <is>
          <t>X</t>
        </is>
      </c>
      <c r="D1" s="1" t="inlineStr">
        <is>
          <t>Y</t>
        </is>
      </c>
      <c r="E1" s="1" t="inlineStr">
        <is>
          <t>Wait (ms)</t>
        </is>
      </c>
      <c r="G1" s="105" t="inlineStr">
        <is>
          <t>← Mục lục</t>
        </is>
      </c>
    </row>
    <row r="2">
      <c r="A2" s="18">
        <v>1</v>
      </c>
      <c r="B2" s="18">
        <v>18452310</v>
      </c>
      <c r="C2" s="18" t="inlineStr">
        <is>
          <t>(tự ghi)</t>
        </is>
      </c>
      <c r="D2" s="18" t="inlineStr">
        <is>
          <t>(tự ghi)</t>
        </is>
      </c>
      <c r="E2" s="18">
        <v>0</v>
      </c>
    </row>
    <row r="3">
      <c r="A3" s="18">
        <v>2</v>
      </c>
      <c r="B3" s="18">
        <v>18454120</v>
      </c>
      <c r="C3" s="18" t="inlineStr">
        <is>
          <t>(tự ghi)</t>
        </is>
      </c>
      <c r="D3" s="18" t="inlineStr">
        <is>
          <t>(tự ghi)</t>
        </is>
      </c>
      <c r="E3" s="18">
        <v>1810</v>
      </c>
    </row>
    <row r="4">
      <c r="A4" s="18">
        <v>3</v>
      </c>
      <c r="B4" s="18">
        <v>18455985</v>
      </c>
      <c r="C4" s="18" t="inlineStr">
        <is>
          <t>(tự ghi)</t>
        </is>
      </c>
      <c r="D4" s="18" t="inlineStr">
        <is>
          <t>(tự ghi)</t>
        </is>
      </c>
      <c r="E4" s="18">
        <v>1865</v>
      </c>
    </row>
    <row r="5">
      <c r="A5" s="18">
        <v>4</v>
      </c>
      <c r="B5" s="18">
        <v>18458410</v>
      </c>
      <c r="C5" s="18" t="inlineStr">
        <is>
          <t>(tự ghi)</t>
        </is>
      </c>
      <c r="D5" s="18" t="inlineStr">
        <is>
          <t>(tự ghi)</t>
        </is>
      </c>
      <c r="E5" s="18">
        <v>2425</v>
      </c>
    </row>
  </sheetData>
  <hyperlinks>
    <hyperlink ref="G1" location="'Mục lục'!A151" display="← Mục lục"/>
  </hyperlinks>
  <pageMargins left="0.7" right="0.7" top="0.75" bottom="0.75" header="0.3" footer="0.3"/>
</worksheet>
</file>

<file path=xl/worksheets/sheet134.xml><?xml version="1.0" encoding="utf-8"?>
<worksheet xmlns="http://schemas.openxmlformats.org/spreadsheetml/2006/main" xmlns:r="http://schemas.openxmlformats.org/officeDocument/2006/relationships">
  <dimension ref="A1:F15"/>
  <sheetViews>
    <sheetView workbookViewId="0">
      <selection activeCell="C4" sqref="C4:C15"/>
    </sheetView>
  </sheetViews>
  <sheetFormatPr defaultRowHeight="15"/>
  <cols>
    <col min="1" max="1" width="4.00" customWidth="1"/>
    <col min="2" max="2" width="30.00" customWidth="1"/>
    <col min="3" max="3" width="26.00" customWidth="1"/>
    <col min="4" max="4" width="17.00" customWidth="1"/>
    <col min="6" max="6" width="12.00" customWidth="1"/>
  </cols>
  <sheetData>
    <row r="1" ht="19.50" customHeight="1">
      <c r="A1" s="29" t="inlineStr">
        <is>
          <t>NHẬT KÝ ẢNH HIỆN TRƯỜNG — TUẦN 41/2026</t>
        </is>
      </c>
      <c r="F1" s="105" t="inlineStr">
        <is>
          <t>← Mục lục</t>
        </is>
      </c>
    </row>
    <row r="2">
      <c r="A2" s="48" t="inlineStr">
        <is>
          <t>Công trình: Nhà văn phòng 9 tầng</t>
        </is>
      </c>
    </row>
    <row r="3">
      <c r="A3" s="3" t="inlineStr">
        <is>
          <t>TT</t>
        </is>
      </c>
      <c r="B3" s="3" t="inlineStr">
        <is>
          <t>Hạng mục / vị trí</t>
        </is>
      </c>
      <c r="C3" s="3" t="inlineStr">
        <is>
          <t>Ảnh hiện trường</t>
        </is>
      </c>
      <c r="D3" s="3" t="inlineStr">
        <is>
          <t>Ghi chú</t>
        </is>
      </c>
    </row>
    <row r="4" ht="19.50" customHeight="1">
      <c r="A4" s="6">
        <v>1</v>
      </c>
      <c r="B4" s="47" t="inlineStr">
        <is>
          <t>Lắp cốt thép sàn tầng 3, trục 1-3</t>
        </is>
      </c>
      <c r="C4" s="4"/>
      <c r="D4" s="47" t="inlineStr">
        <is>
          <t>Nghiệm thu 06/10</t>
        </is>
      </c>
    </row>
    <row r="5" ht="19.50" customHeight="1">
      <c r="A5" s="4"/>
      <c r="B5" s="4"/>
      <c r="C5" s="4"/>
      <c r="D5" s="4"/>
    </row>
    <row r="6" ht="19.50" customHeight="1">
      <c r="A6" s="4"/>
      <c r="B6" s="4"/>
      <c r="C6" s="4"/>
      <c r="D6" s="4"/>
    </row>
    <row r="7" ht="19.50" customHeight="1">
      <c r="A7" s="6">
        <v>2</v>
      </c>
      <c r="B7" s="47" t="inlineStr">
        <is>
          <t>Ván khuôn dầm tầng 3, trục A-B</t>
        </is>
      </c>
      <c r="C7" s="4"/>
      <c r="D7" s="47" t="inlineStr">
        <is>
          <t>Chờ TVGS</t>
        </is>
      </c>
    </row>
    <row r="8" ht="19.50" customHeight="1">
      <c r="A8" s="4"/>
      <c r="B8" s="4"/>
      <c r="C8" s="4"/>
      <c r="D8" s="4"/>
    </row>
    <row r="9" ht="19.50" customHeight="1">
      <c r="A9" s="4"/>
      <c r="B9" s="4"/>
      <c r="C9" s="4"/>
      <c r="D9" s="4"/>
    </row>
    <row r="10" ht="19.50" customHeight="1">
      <c r="A10" s="6">
        <v>3</v>
      </c>
      <c r="B10" s="47" t="inlineStr">
        <is>
          <t>Đổ bê tông móng M3, B25</t>
        </is>
      </c>
      <c r="C10" s="4"/>
      <c r="D10" s="47" t="inlineStr">
        <is>
          <t>Lấy 2 tổ mẫu</t>
        </is>
      </c>
    </row>
    <row r="11" ht="19.50" customHeight="1">
      <c r="A11" s="4"/>
      <c r="B11" s="4"/>
      <c r="C11" s="4"/>
      <c r="D11" s="4"/>
    </row>
    <row r="12" ht="19.50" customHeight="1">
      <c r="A12" s="4"/>
      <c r="B12" s="4"/>
      <c r="C12" s="4"/>
      <c r="D12" s="4"/>
    </row>
    <row r="13" ht="19.50" customHeight="1">
      <c r="A13" s="6">
        <v>4</v>
      </c>
      <c r="B13" s="47" t="inlineStr">
        <is>
          <t>Xây tường bao tầng 2</t>
        </is>
      </c>
      <c r="C13" s="4"/>
      <c r="D13" s="47" t="inlineStr">
        <is>
          <t>Đạt</t>
        </is>
      </c>
    </row>
    <row r="14" ht="19.50" customHeight="1">
      <c r="A14" s="4"/>
      <c r="B14" s="4"/>
      <c r="C14" s="4"/>
      <c r="D14" s="4"/>
    </row>
    <row r="15" ht="19.50" customHeight="1">
      <c r="A15" s="4"/>
      <c r="B15" s="4"/>
      <c r="C15" s="4"/>
      <c r="D15" s="4"/>
    </row>
  </sheetData>
  <mergeCells count="17">
    <mergeCell ref="A1:D1"/>
    <mergeCell ref="A4:A6"/>
    <mergeCell ref="B4:B6"/>
    <mergeCell ref="C4:C6"/>
    <mergeCell ref="D4:D6"/>
    <mergeCell ref="A7:A9"/>
    <mergeCell ref="B7:B9"/>
    <mergeCell ref="C7:C9"/>
    <mergeCell ref="D7:D9"/>
    <mergeCell ref="A10:A12"/>
    <mergeCell ref="B10:B12"/>
    <mergeCell ref="C10:C12"/>
    <mergeCell ref="D10:D12"/>
    <mergeCell ref="A13:A15"/>
    <mergeCell ref="B13:B15"/>
    <mergeCell ref="C13:C15"/>
    <mergeCell ref="D13:D15"/>
  </mergeCells>
  <hyperlinks>
    <hyperlink ref="F1" location="'Mục lục'!A152" display="← Mục lục"/>
  </hyperlinks>
  <pageMargins left="0.7" right="0.7" top="0.75" bottom="0.75" header="0.3" footer="0.3"/>
</worksheet>
</file>

<file path=xl/worksheets/sheet135.xml><?xml version="1.0" encoding="utf-8"?>
<worksheet xmlns="http://schemas.openxmlformats.org/spreadsheetml/2006/main" xmlns:r="http://schemas.openxmlformats.org/officeDocument/2006/relationships">
  <dimension ref="A1:F7"/>
  <sheetViews>
    <sheetView workbookViewId="0">
      <selection activeCell="B4" sqref="B4:B7"/>
    </sheetView>
  </sheetViews>
  <sheetFormatPr defaultRowHeight="15"/>
  <cols>
    <col min="1" max="1" width="4.00" customWidth="1"/>
    <col min="2" max="2" width="22.00" customWidth="1"/>
    <col min="3" max="3" width="26.00" customWidth="1"/>
    <col min="4" max="4" width="14.00" customWidth="1"/>
    <col min="6" max="6" width="12.00" customWidth="1"/>
  </cols>
  <sheetData>
    <row r="1" ht="19.50" customHeight="1">
      <c r="A1" s="29" t="inlineStr">
        <is>
          <t>THEO DÕI ẢNH CẤU KIỆN ĐÚC SẴN</t>
        </is>
      </c>
      <c r="F1" s="105" t="inlineStr">
        <is>
          <t>← Mục lục</t>
        </is>
      </c>
    </row>
    <row r="2">
      <c r="A2" s="48" t="inlineStr">
        <is>
          <t>Công trình: Nhà văn phòng 9 tầng</t>
        </is>
      </c>
    </row>
    <row r="3">
      <c r="A3" s="3" t="inlineStr">
        <is>
          <t>TT</t>
        </is>
      </c>
      <c r="B3" s="3" t="inlineStr">
        <is>
          <t>Mã cấu kiện (tên ảnh)</t>
        </is>
      </c>
      <c r="C3" s="3" t="inlineStr">
        <is>
          <t>Ảnh</t>
        </is>
      </c>
      <c r="D3" s="3" t="inlineStr">
        <is>
          <t>Ngày đúc</t>
        </is>
      </c>
    </row>
    <row r="4" ht="36.00" customHeight="1">
      <c r="A4" s="6">
        <v>1</v>
      </c>
      <c r="B4" s="4" t="inlineStr">
        <is>
          <t>CK-001</t>
        </is>
      </c>
      <c r="C4" s="4"/>
      <c r="D4" s="5">
        <v>46297</v>
      </c>
    </row>
    <row r="5" ht="36.00" customHeight="1">
      <c r="A5" s="6">
        <v>2</v>
      </c>
      <c r="B5" s="4" t="inlineStr">
        <is>
          <t>CK-002</t>
        </is>
      </c>
      <c r="C5" s="4"/>
      <c r="D5" s="5">
        <v>46298</v>
      </c>
    </row>
    <row r="6" ht="36.00" customHeight="1">
      <c r="A6" s="6">
        <v>3</v>
      </c>
      <c r="B6" s="4" t="inlineStr">
        <is>
          <t>CK-003.jpg</t>
        </is>
      </c>
      <c r="C6" s="4"/>
      <c r="D6" s="5">
        <v>46300</v>
      </c>
    </row>
    <row r="7" ht="36.00" customHeight="1">
      <c r="A7" s="6">
        <v>4</v>
      </c>
      <c r="B7" s="4" t="inlineStr">
        <is>
          <t>CK-004</t>
        </is>
      </c>
      <c r="C7" s="4"/>
      <c r="D7" s="5">
        <v>46301</v>
      </c>
    </row>
  </sheetData>
  <mergeCells count="1">
    <mergeCell ref="A1:D1"/>
  </mergeCells>
  <hyperlinks>
    <hyperlink ref="F1" location="'Mục lục'!A153" display="← Mục lục"/>
  </hyperlinks>
  <pageMargins left="0.7" right="0.7" top="0.75" bottom="0.75" header="0.3" footer="0.3"/>
</worksheet>
</file>

<file path=xl/worksheets/sheet136.xml><?xml version="1.0" encoding="utf-8"?>
<worksheet xmlns="http://schemas.openxmlformats.org/spreadsheetml/2006/main" xmlns:r="http://schemas.openxmlformats.org/officeDocument/2006/relationships">
  <dimension ref="A1:J7"/>
  <sheetViews>
    <sheetView workbookViewId="0">
      <selection activeCell="F4" sqref="F4"/>
    </sheetView>
  </sheetViews>
  <sheetFormatPr defaultRowHeight="15"/>
  <cols>
    <col min="1" max="1" width="4.00" customWidth="1"/>
    <col min="2" max="2" width="16.00" customWidth="1"/>
    <col min="3" max="3" width="10.00" customWidth="1"/>
    <col min="4" max="4" width="9.00" customWidth="1"/>
    <col min="5" max="5" width="9.00" customWidth="1"/>
    <col min="6" max="6" width="24.00" customWidth="1"/>
    <col min="7" max="7" width="12.00" customWidth="1"/>
    <col min="8" max="8" width="12.00" customWidth="1"/>
    <col min="10" max="10" width="12.00" customWidth="1"/>
  </cols>
  <sheetData>
    <row r="1">
      <c r="A1" s="1" t="inlineStr">
        <is>
          <t>BẢNG THỐNG KÊ THÉP SÀN TẦNG 2</t>
        </is>
      </c>
      <c r="J1" s="105" t="inlineStr">
        <is>
          <t>← Mục lục</t>
        </is>
      </c>
    </row>
    <row r="3">
      <c r="A3" s="3" t="inlineStr">
        <is>
          <t>TT</t>
        </is>
      </c>
      <c r="B3" s="3" t="inlineStr">
        <is>
          <t>Ô sàn</t>
        </is>
      </c>
      <c r="C3" s="3" t="inlineStr">
        <is>
          <t>Thép</t>
        </is>
      </c>
      <c r="D3" s="3" t="inlineStr">
        <is>
          <t>Số thanh</t>
        </is>
      </c>
      <c r="E3" s="3" t="inlineStr">
        <is>
          <t>KL (kg)</t>
        </is>
      </c>
      <c r="F3" s="3" t="inlineStr">
        <is>
          <t>Ghi chú hiện trường</t>
        </is>
      </c>
    </row>
    <row r="4">
      <c r="A4" s="6">
        <v>1</v>
      </c>
      <c r="B4" s="4" t="inlineStr">
        <is>
          <t>Trục A-B / 1-2</t>
        </is>
      </c>
      <c r="C4" s="6" t="inlineStr">
        <is>
          <t>Ø10a150</t>
        </is>
      </c>
      <c r="D4" s="4">
        <v>86</v>
      </c>
      <c r="E4" s="32">
        <v>212.4</v>
      </c>
      <c r="F4" s="4" t="inlineStr">
        <is>
          <t>Lưới thép lớp dưới</t>
        </is>
      </c>
    </row>
    <row r="5">
      <c r="A5" s="6">
        <v>2</v>
      </c>
      <c r="B5" s="4" t="inlineStr">
        <is>
          <t>Trục B-C / 1-2</t>
        </is>
      </c>
      <c r="C5" s="6" t="inlineStr">
        <is>
          <t>Ø10a150</t>
        </is>
      </c>
      <c r="D5" s="4">
        <v>86</v>
      </c>
      <c r="E5" s="32">
        <v>212.4</v>
      </c>
      <c r="F5" s="4"/>
    </row>
    <row r="6">
      <c r="A6" s="6">
        <v>3</v>
      </c>
      <c r="B6" s="4" t="inlineStr">
        <is>
          <t>Trục A-B / 2-3</t>
        </is>
      </c>
      <c r="C6" s="6" t="inlineStr">
        <is>
          <t>Ø12a200</t>
        </is>
      </c>
      <c r="D6" s="4">
        <v>64</v>
      </c>
      <c r="E6" s="32">
        <v>227.3</v>
      </c>
      <c r="F6" s="4"/>
    </row>
    <row r="7">
      <c r="A7" s="6">
        <v>4</v>
      </c>
      <c r="B7" s="4" t="inlineStr">
        <is>
          <t>Trục B-C / 2-3</t>
        </is>
      </c>
      <c r="C7" s="6" t="inlineStr">
        <is>
          <t>Ø12a200</t>
        </is>
      </c>
      <c r="D7" s="4">
        <v>64</v>
      </c>
      <c r="E7" s="32">
        <v>227.3</v>
      </c>
      <c r="F7" s="4"/>
    </row>
  </sheetData>
  <hyperlinks>
    <hyperlink ref="J1" location="'Mục lục'!A154" display="← Mục lục"/>
  </hyperlinks>
  <pageMargins left="0.7" right="0.7" top="0.75" bottom="0.75" header="0.3" footer="0.3"/>
</worksheet>
</file>

<file path=xl/worksheets/sheet137.xml><?xml version="1.0" encoding="utf-8"?>
<worksheet xmlns="http://schemas.openxmlformats.org/spreadsheetml/2006/main" xmlns:r="http://schemas.openxmlformats.org/officeDocument/2006/relationships">
  <dimension ref="A1:G8"/>
  <sheetViews>
    <sheetView workbookViewId="0">
      <selection activeCell="A4" sqref="A4:A8"/>
    </sheetView>
  </sheetViews>
  <sheetFormatPr defaultRowHeight="15"/>
  <cols>
    <col min="1" max="1" width="11.00" customWidth="1"/>
    <col min="2" max="2" width="30.00" customWidth="1"/>
    <col min="3" max="3" width="14.00" customWidth="1"/>
    <col min="4" max="4" width="12.00" customWidth="1"/>
    <col min="5" max="5" width="10.00" customWidth="1"/>
    <col min="7" max="7" width="12.00" customWidth="1"/>
  </cols>
  <sheetData>
    <row r="1">
      <c r="A1" s="1" t="inlineStr">
        <is>
          <t>DANH MỤC NGHIỆM THU CÔNG TÁC XÂY TƯỜNG TẦNG 5</t>
        </is>
      </c>
      <c r="G1" s="105" t="inlineStr">
        <is>
          <t>← Mục lục</t>
        </is>
      </c>
    </row>
    <row r="3">
      <c r="A3" s="3" t="inlineStr">
        <is>
          <t>Số phiếu</t>
        </is>
      </c>
      <c r="B3" s="3" t="inlineStr">
        <is>
          <t>Công việc</t>
        </is>
      </c>
      <c r="C3" s="3" t="inlineStr">
        <is>
          <t>Vị trí</t>
        </is>
      </c>
      <c r="D3" s="3" t="inlineStr">
        <is>
          <t>Ngày NT</t>
        </is>
      </c>
      <c r="E3" s="3" t="inlineStr">
        <is>
          <t>Kết quả</t>
        </is>
      </c>
    </row>
    <row r="4">
      <c r="A4" s="4" t="inlineStr">
        <is>
          <t>NT-501</t>
        </is>
      </c>
      <c r="B4" s="4" t="inlineStr">
        <is>
          <t>Xây tường gạch 220</t>
        </is>
      </c>
      <c r="C4" s="4" t="inlineStr">
        <is>
          <t>Trục 1-2</t>
        </is>
      </c>
      <c r="D4" s="5">
        <v>46296</v>
      </c>
      <c r="E4" s="6" t="inlineStr">
        <is>
          <t>Đạt</t>
        </is>
      </c>
    </row>
    <row r="5">
      <c r="A5" s="4" t="inlineStr">
        <is>
          <t>NT-502</t>
        </is>
      </c>
      <c r="B5" s="4" t="inlineStr">
        <is>
          <t>Xây tường gạch 220</t>
        </is>
      </c>
      <c r="C5" s="4" t="inlineStr">
        <is>
          <t>Trục 2-3</t>
        </is>
      </c>
      <c r="D5" s="5">
        <v>46297</v>
      </c>
      <c r="E5" s="6" t="inlineStr">
        <is>
          <t>Đạt</t>
        </is>
      </c>
    </row>
    <row r="6">
      <c r="A6" s="4" t="inlineStr">
        <is>
          <t>NT-503</t>
        </is>
      </c>
      <c r="B6" s="4" t="inlineStr">
        <is>
          <t>Xây tường gạch 110</t>
        </is>
      </c>
      <c r="C6" s="4" t="inlineStr">
        <is>
          <t>Trục A-B</t>
        </is>
      </c>
      <c r="D6" s="5">
        <v>46298</v>
      </c>
      <c r="E6" s="6" t="inlineStr">
        <is>
          <t>Đạt</t>
        </is>
      </c>
    </row>
    <row r="7">
      <c r="A7" s="4" t="inlineStr">
        <is>
          <t>NT-504</t>
        </is>
      </c>
      <c r="B7" s="4" t="inlineStr">
        <is>
          <t>Lanh tô cửa đi</t>
        </is>
      </c>
      <c r="C7" s="4" t="inlineStr">
        <is>
          <t>Trục B-C</t>
        </is>
      </c>
      <c r="D7" s="5">
        <v>46300</v>
      </c>
      <c r="E7" s="6" t="inlineStr">
        <is>
          <t>Đạt</t>
        </is>
      </c>
    </row>
    <row r="8">
      <c r="A8" s="4" t="inlineStr">
        <is>
          <t>NT-505</t>
        </is>
      </c>
      <c r="B8" s="4" t="inlineStr">
        <is>
          <t>Trát tường trong</t>
        </is>
      </c>
      <c r="C8" s="4" t="inlineStr">
        <is>
          <t>Trục 1-3</t>
        </is>
      </c>
      <c r="D8" s="5">
        <v>46302</v>
      </c>
      <c r="E8" s="6" t="inlineStr">
        <is>
          <t>Chờ</t>
        </is>
      </c>
    </row>
  </sheetData>
  <hyperlinks>
    <hyperlink ref="G1" location="'Mục lục'!A155" display="← Mục lục"/>
  </hyperlinks>
  <pageMargins left="0.7" right="0.7" top="0.75" bottom="0.75" header="0.3" footer="0.3"/>
</worksheet>
</file>

<file path=xl/worksheets/sheet138.xml><?xml version="1.0" encoding="utf-8"?>
<worksheet xmlns="http://schemas.openxmlformats.org/spreadsheetml/2006/main" xmlns:r="http://schemas.openxmlformats.org/officeDocument/2006/relationships">
  <dimension ref="A1:G11"/>
  <sheetViews>
    <sheetView workbookViewId="0"/>
  </sheetViews>
  <sheetFormatPr defaultRowHeight="15"/>
  <cols>
    <col min="1" max="1" width="11.00" customWidth="1"/>
    <col min="2" max="2" width="24.00" customWidth="1"/>
    <col min="3" max="3" width="24.00" customWidth="1"/>
    <col min="4" max="4" width="22.00" customWidth="1"/>
    <col min="5" max="5" width="10.00" customWidth="1"/>
    <col min="7" max="7" width="12.00" customWidth="1"/>
  </cols>
  <sheetData>
    <row r="1">
      <c r="A1" s="1" t="inlineStr">
        <is>
          <t>NHẬT KÝ THI CÔNG — TUẦN 41/2026</t>
        </is>
      </c>
      <c r="G1" s="105" t="inlineStr">
        <is>
          <t>← Mục lục</t>
        </is>
      </c>
    </row>
    <row r="3">
      <c r="A3" s="3" t="inlineStr">
        <is>
          <t>Ngày</t>
        </is>
      </c>
      <c r="B3" s="3" t="inlineStr">
        <is>
          <t>Công việc</t>
        </is>
      </c>
      <c r="C3" s="3" t="inlineStr">
        <is>
          <t>Ảnh</t>
        </is>
      </c>
      <c r="D3" s="3" t="inlineStr">
        <is>
          <t>Ghi chú</t>
        </is>
      </c>
    </row>
    <row r="4" ht="18.00" customHeight="1">
      <c r="A4" s="5">
        <v>46301</v>
      </c>
      <c r="B4" s="47" t="inlineStr">
        <is>
          <t>Đổ bê tông móng M2, B25</t>
        </is>
      </c>
      <c r="C4" s="69" t="inlineStr">
        <is>
          <t>📷 M2.jpg</t>
        </is>
      </c>
      <c r="D4" s="4" t="inlineStr">
        <is>
          <t>18 m³ — lấy 2 tổ mẫu</t>
        </is>
      </c>
    </row>
    <row r="5" ht="18.00" customHeight="1">
      <c r="A5" s="4"/>
      <c r="B5" s="4"/>
      <c r="C5" s="4"/>
      <c r="D5" s="4"/>
    </row>
    <row r="6" ht="18.00" customHeight="1">
      <c r="A6" s="4"/>
      <c r="B6" s="4"/>
      <c r="C6" s="4"/>
      <c r="D6" s="4"/>
    </row>
    <row r="7" ht="18.00" customHeight="1">
      <c r="A7" s="4"/>
      <c r="B7" s="4"/>
      <c r="C7" s="4"/>
      <c r="D7" s="4"/>
    </row>
    <row r="8" ht="18.00" customHeight="1">
      <c r="A8" s="5">
        <v>46302</v>
      </c>
      <c r="B8" s="47" t="inlineStr">
        <is>
          <t>Đổ bê tông móng M3, B25</t>
        </is>
      </c>
      <c r="C8" s="4"/>
      <c r="D8" s="4" t="inlineStr">
        <is>
          <t>21 m³ — lấy 2 tổ mẫu</t>
        </is>
      </c>
    </row>
    <row r="9" ht="18.00" customHeight="1">
      <c r="A9" s="4"/>
      <c r="B9" s="4"/>
      <c r="C9" s="4"/>
      <c r="D9" s="70" t="inlineStr">
        <is>
          <t>📷 M3.jpg</t>
        </is>
      </c>
    </row>
    <row r="10" ht="18.00" customHeight="1">
      <c r="A10" s="4"/>
      <c r="B10" s="4"/>
      <c r="C10" s="4"/>
    </row>
    <row r="11" ht="18.00" customHeight="1">
      <c r="A11" s="4"/>
      <c r="B11" s="4"/>
      <c r="C11" s="4"/>
    </row>
  </sheetData>
  <mergeCells count="7">
    <mergeCell ref="A4:A7"/>
    <mergeCell ref="B4:B7"/>
    <mergeCell ref="C4:C7"/>
    <mergeCell ref="A8:A11"/>
    <mergeCell ref="B8:B11"/>
    <mergeCell ref="C8:C11"/>
    <mergeCell ref="D9:E12"/>
  </mergeCells>
  <hyperlinks>
    <hyperlink ref="G1" location="'Mục lục'!A156" display="← Mục lục"/>
  </hyperlinks>
  <pageMargins left="0.7" right="0.7" top="0.75" bottom="0.75" header="0.3" footer="0.3"/>
</worksheet>
</file>

<file path=xl/worksheets/sheet139.xml><?xml version="1.0" encoding="utf-8"?>
<worksheet xmlns="http://schemas.openxmlformats.org/spreadsheetml/2006/main" xmlns:r="http://schemas.openxmlformats.org/officeDocument/2006/relationships">
  <dimension ref="A1:F8"/>
  <sheetViews>
    <sheetView workbookViewId="0">
      <selection activeCell="B9" sqref="B9"/>
    </sheetView>
  </sheetViews>
  <sheetFormatPr defaultRowHeight="15"/>
  <cols>
    <col min="1" max="1" width="4.00" customWidth="1"/>
    <col min="2" max="2" width="30.00" customWidth="1"/>
    <col min="3" max="3" width="24.00" customWidth="1"/>
    <col min="4" max="4" width="20.00" customWidth="1"/>
    <col min="6" max="6" width="12.00" customWidth="1"/>
  </cols>
  <sheetData>
    <row r="1">
      <c r="A1" s="29" t="inlineStr">
        <is>
          <t>BIÊN BẢN HỌP GIAO BAN TUẦN 41/2026</t>
        </is>
      </c>
      <c r="F1" s="105" t="inlineStr">
        <is>
          <t>← Mục lục</t>
        </is>
      </c>
    </row>
    <row r="2">
      <c r="A2" s="48" t="inlineStr">
        <is>
          <t>Công trình: Nhà văn phòng 9 tầng</t>
        </is>
      </c>
    </row>
    <row r="4">
      <c r="A4" s="71" t="inlineStr">
        <is>
          <t>1.</t>
        </is>
      </c>
      <c r="B4" s="18" t="inlineStr">
        <is>
          <t>Tiến độ phần móng: đạt 85 % kế hoạch.</t>
        </is>
      </c>
    </row>
    <row r="5">
      <c r="A5" s="71" t="inlineStr">
        <is>
          <t>2.</t>
        </is>
      </c>
      <c r="B5" s="18" t="inlineStr">
        <is>
          <t>TVGS: cao độ đáy đài ĐM-4 trên bản vẽ shop không khớp thiết kế.</t>
        </is>
      </c>
    </row>
    <row r="6">
      <c r="A6" s="71" t="inlineStr">
        <is>
          <t>3.</t>
        </is>
      </c>
      <c r="B6" s="18" t="inlineStr">
        <is>
          <t>Nhà thầu kiểm tra, trình bản sửa trước 10/10/2026.</t>
        </is>
      </c>
    </row>
    <row r="8">
      <c r="B8" s="1" t="inlineStr">
        <is>
          <t>Ảnh minh hoạ:</t>
        </is>
      </c>
    </row>
  </sheetData>
  <mergeCells count="1">
    <mergeCell ref="A1:D1"/>
  </mergeCells>
  <hyperlinks>
    <hyperlink ref="F1" location="'Mục lục'!A157" display="← Mục lục"/>
  </hyperlinks>
  <pageMargins left="0.7" right="0.7" top="0.75" bottom="0.75" header="0.3" footer="0.3"/>
</worksheet>
</file>

<file path=xl/worksheets/sheet140.xml><?xml version="1.0" encoding="utf-8"?>
<worksheet xmlns="http://schemas.openxmlformats.org/spreadsheetml/2006/main" xmlns:r="http://schemas.openxmlformats.org/officeDocument/2006/relationships">
  <dimension ref="A1:K12"/>
  <sheetViews>
    <sheetView workbookViewId="0"/>
  </sheetViews>
  <sheetFormatPr defaultRowHeight="15"/>
  <cols>
    <col min="1" max="1" width="3.00" customWidth="1"/>
    <col min="2" max="2" width="5.00" customWidth="1"/>
    <col min="3" max="3" width="5.00" customWidth="1"/>
    <col min="4" max="4" width="5.00" customWidth="1"/>
    <col min="5" max="5" width="5.00" customWidth="1"/>
    <col min="6" max="6" width="5.00" customWidth="1"/>
    <col min="7" max="7" width="5.00" customWidth="1"/>
    <col min="8" max="8" width="5.00" customWidth="1"/>
    <col min="9" max="9" width="5.00" customWidth="1"/>
    <col min="11" max="11" width="12.00" customWidth="1"/>
  </cols>
  <sheetData>
    <row r="1">
      <c r="A1" s="1" t="inlineStr">
        <is>
          <t>MẶT BẰNG THÉP SÀN TẦNG 3 — VÙNG TĂNG CƯỜNG</t>
        </is>
      </c>
      <c r="K1" s="105" t="inlineStr">
        <is>
          <t>← Mục lục</t>
        </is>
      </c>
    </row>
    <row r="3" ht="19.50" customHeight="1">
      <c r="B3" s="72"/>
      <c r="C3" s="72"/>
      <c r="D3" s="72"/>
      <c r="E3" s="72"/>
      <c r="F3" s="72"/>
      <c r="G3" s="72"/>
      <c r="H3" s="72"/>
    </row>
    <row r="4" ht="19.50" customHeight="1">
      <c r="B4" s="72"/>
      <c r="C4" s="72"/>
      <c r="D4" s="72"/>
      <c r="E4" s="72"/>
      <c r="F4" s="72"/>
      <c r="G4" s="72"/>
      <c r="H4" s="72"/>
    </row>
    <row r="5" ht="19.50" customHeight="1">
      <c r="B5" s="72"/>
      <c r="C5" s="72"/>
      <c r="D5" s="72"/>
      <c r="E5" s="72"/>
      <c r="F5" s="72"/>
      <c r="G5" s="72"/>
      <c r="H5" s="72"/>
    </row>
    <row r="6" ht="19.50" customHeight="1">
      <c r="B6" s="72"/>
      <c r="C6" s="72"/>
      <c r="D6" s="72"/>
    </row>
    <row r="7" ht="19.50" customHeight="1">
      <c r="B7" s="73" t="inlineStr">
        <is>
          <t>Tăng cường</t>
        </is>
      </c>
      <c r="C7" s="72"/>
      <c r="D7" s="72"/>
      <c r="F7" s="74" t="inlineStr">
        <is>
          <t>LỖ MỞ</t>
        </is>
      </c>
      <c r="G7" s="4"/>
    </row>
    <row r="8" ht="19.50" customHeight="1">
      <c r="B8" s="73" t="inlineStr">
        <is>
          <t>Ø12a100</t>
        </is>
      </c>
      <c r="C8" s="72"/>
      <c r="D8" s="72"/>
      <c r="F8" s="4"/>
      <c r="G8" s="4"/>
    </row>
    <row r="9" ht="19.50" customHeight="1">
      <c r="B9" s="72"/>
      <c r="C9" s="72"/>
      <c r="D9" s="72"/>
      <c r="F9" s="4"/>
      <c r="G9" s="4"/>
    </row>
    <row r="10" ht="19.50" customHeight="1">
      <c r="B10" s="72"/>
      <c r="C10" s="72"/>
      <c r="D10" s="72"/>
    </row>
    <row r="11" ht="19.50" customHeight="1">
      <c r="B11" s="72"/>
      <c r="C11" s="72"/>
      <c r="D11" s="72"/>
    </row>
    <row r="12" ht="19.50" customHeight="1"/>
  </sheetData>
  <mergeCells count="1">
    <mergeCell ref="F7:G9"/>
  </mergeCells>
  <hyperlinks>
    <hyperlink ref="K1" location="'Mục lục'!A159" display="← Mục lục"/>
  </hyperlinks>
  <pageMargins left="0.7" right="0.7" top="0.75" bottom="0.75" header="0.3" footer="0.3"/>
</worksheet>
</file>

<file path=xl/worksheets/sheet141.xml><?xml version="1.0" encoding="utf-8"?>
<worksheet xmlns="http://schemas.openxmlformats.org/spreadsheetml/2006/main" xmlns:r="http://schemas.openxmlformats.org/officeDocument/2006/relationships">
  <dimension ref="A1:I11"/>
  <sheetViews>
    <sheetView workbookViewId="0">
      <selection activeCell="A11" sqref="A11:F11"/>
    </sheetView>
  </sheetViews>
  <sheetFormatPr defaultRowHeight="15"/>
  <cols>
    <col min="1" max="1" width="4.00" customWidth="1"/>
    <col min="2" max="2" width="10.00" customWidth="1"/>
    <col min="3" max="3" width="32.00" customWidth="1"/>
    <col min="4" max="4" width="7.00" customWidth="1"/>
    <col min="5" max="5" width="9.00" customWidth="1"/>
    <col min="6" max="6" width="9.00" customWidth="1"/>
    <col min="7" max="7" width="3.00" customWidth="1"/>
    <col min="9" max="9" width="12.00" customWidth="1"/>
  </cols>
  <sheetData>
    <row r="1">
      <c r="A1" s="1" t="inlineStr">
        <is>
          <t>BẢNG KHỐI LƯỢNG THANH TOÁN ĐỢT 3</t>
        </is>
      </c>
      <c r="I1" s="105" t="inlineStr">
        <is>
          <t>← Mục lục</t>
        </is>
      </c>
    </row>
    <row r="2">
      <c r="A2" s="48" t="inlineStr">
        <is>
          <t>Công trình: Nhà văn phòng 9 tầng</t>
        </is>
      </c>
    </row>
    <row r="3">
      <c r="A3" s="3" t="inlineStr">
        <is>
          <t>TT</t>
        </is>
      </c>
      <c r="B3" s="3" t="inlineStr">
        <is>
          <t>Mã hiệu</t>
        </is>
      </c>
      <c r="C3" s="3" t="inlineStr">
        <is>
          <t>Nội dung công việc</t>
        </is>
      </c>
      <c r="D3" s="3" t="inlineStr">
        <is>
          <t>ĐVT</t>
        </is>
      </c>
      <c r="E3" s="3" t="inlineStr">
        <is>
          <t>Đợt 2</t>
        </is>
      </c>
      <c r="F3" s="3" t="inlineStr">
        <is>
          <t>Đợt 3</t>
        </is>
      </c>
    </row>
    <row r="4">
      <c r="A4" s="6">
        <v>1</v>
      </c>
      <c r="B4" s="4" t="inlineStr">
        <is>
          <t>AB.25112</t>
        </is>
      </c>
      <c r="C4" s="4" t="inlineStr">
        <is>
          <t>Đào móng bằng máy, đất cấp II</t>
        </is>
      </c>
      <c r="D4" s="6" t="inlineStr">
        <is>
          <t>m³</t>
        </is>
      </c>
      <c r="E4" s="32">
        <v>412.5</v>
      </c>
      <c r="F4" s="32">
        <v>412.5</v>
      </c>
    </row>
    <row r="5">
      <c r="A5" s="75">
        <v>2</v>
      </c>
      <c r="B5" s="76" t="inlineStr">
        <is>
          <t>AF.11114</t>
        </is>
      </c>
      <c r="C5" s="76" t="inlineStr">
        <is>
          <t>Bê tông lót móng M100, đá 4x6</t>
        </is>
      </c>
      <c r="D5" s="75" t="inlineStr">
        <is>
          <t>m³</t>
        </is>
      </c>
      <c r="E5" s="77">
        <v>18.6</v>
      </c>
      <c r="F5" s="78">
        <v>21.3</v>
      </c>
    </row>
    <row r="6">
      <c r="A6" s="6">
        <v>3</v>
      </c>
      <c r="B6" s="4" t="inlineStr">
        <is>
          <t>AF.22224</t>
        </is>
      </c>
      <c r="C6" s="4" t="inlineStr">
        <is>
          <t>Bê tông móng M300, đá 1x2</t>
        </is>
      </c>
      <c r="D6" s="6" t="inlineStr">
        <is>
          <t>m³</t>
        </is>
      </c>
      <c r="E6" s="32">
        <v>186.4</v>
      </c>
      <c r="F6" s="32">
        <v>186.4</v>
      </c>
    </row>
    <row r="7">
      <c r="A7" s="6">
        <v>4</v>
      </c>
      <c r="B7" s="4" t="inlineStr">
        <is>
          <t>AF.61120</t>
        </is>
      </c>
      <c r="C7" s="4" t="inlineStr">
        <is>
          <t>Cốt thép móng Ø ≤ 18 mm</t>
        </is>
      </c>
      <c r="D7" s="6" t="inlineStr">
        <is>
          <t>tấn</t>
        </is>
      </c>
      <c r="E7" s="11">
        <v>14.82</v>
      </c>
      <c r="F7" s="11">
        <v>14.82</v>
      </c>
    </row>
    <row r="8">
      <c r="A8" s="75">
        <v>5</v>
      </c>
      <c r="B8" s="76" t="inlineStr">
        <is>
          <t>AF.81111</t>
        </is>
      </c>
      <c r="C8" s="76" t="inlineStr">
        <is>
          <t>Ván khuôn móng</t>
        </is>
      </c>
      <c r="D8" s="75" t="inlineStr">
        <is>
          <t>100m²</t>
        </is>
      </c>
      <c r="E8" s="79">
        <v>3.46</v>
      </c>
      <c r="F8" s="80">
        <v>3.92</v>
      </c>
    </row>
    <row r="9">
      <c r="A9" s="6">
        <v>6</v>
      </c>
      <c r="B9" s="4" t="inlineStr">
        <is>
          <t>AE.22214</t>
        </is>
      </c>
      <c r="C9" s="4" t="inlineStr">
        <is>
          <t>Xây tường gạch 220, vữa M75</t>
        </is>
      </c>
      <c r="D9" s="6" t="inlineStr">
        <is>
          <t>m³</t>
        </is>
      </c>
      <c r="E9" s="32">
        <v>96</v>
      </c>
      <c r="F9" s="32">
        <v>96</v>
      </c>
    </row>
    <row r="10">
      <c r="A10" s="6">
        <v>7</v>
      </c>
      <c r="B10" s="4" t="inlineStr">
        <is>
          <t>AK.21224</t>
        </is>
      </c>
      <c r="C10" s="4" t="inlineStr">
        <is>
          <t>Trát tường trong dày 1,5 cm</t>
        </is>
      </c>
      <c r="D10" s="6" t="inlineStr">
        <is>
          <t>m²</t>
        </is>
      </c>
      <c r="E10" s="33">
        <v>1240</v>
      </c>
      <c r="F10" s="33">
        <v>1240</v>
      </c>
    </row>
    <row r="11">
      <c r="A11" s="6">
        <v>8</v>
      </c>
      <c r="B11" s="4" t="inlineStr">
        <is>
          <t>AK.84114</t>
        </is>
      </c>
      <c r="C11" s="4" t="inlineStr">
        <is>
          <t>Sơn tường trong 1 lót 2 phủ</t>
        </is>
      </c>
      <c r="D11" s="6" t="inlineStr">
        <is>
          <t>m²</t>
        </is>
      </c>
      <c r="E11" s="33">
        <v>1240</v>
      </c>
      <c r="F11" s="49">
        <v>1315</v>
      </c>
    </row>
  </sheetData>
  <hyperlinks>
    <hyperlink ref="I1" location="'Mục lục'!A160" display="← Mục lục"/>
  </hyperlinks>
  <pageMargins left="0.7" right="0.7" top="0.75" bottom="0.75" header="0.3" footer="0.3"/>
</worksheet>
</file>

<file path=xl/worksheets/sheet142.xml><?xml version="1.0" encoding="utf-8"?>
<worksheet xmlns="http://schemas.openxmlformats.org/spreadsheetml/2006/main" xmlns:r="http://schemas.openxmlformats.org/officeDocument/2006/relationships">
  <dimension ref="A1:H3"/>
  <sheetViews>
    <sheetView workbookViewId="0">
      <selection activeCell="A5" sqref="A5"/>
    </sheetView>
  </sheetViews>
  <sheetFormatPr defaultRowHeight="15"/>
  <cols>
    <col min="1" max="1" width="9.00" customWidth="1"/>
    <col min="2" max="2" width="9.00" customWidth="1"/>
    <col min="3" max="3" width="9.00" customWidth="1"/>
    <col min="4" max="4" width="9.00" customWidth="1"/>
    <col min="5" max="5" width="9.00" customWidth="1"/>
    <col min="6" max="6" width="9.00" customWidth="1"/>
    <col min="8" max="8" width="12.00" customWidth="1"/>
  </cols>
  <sheetData>
    <row r="1">
      <c r="A1" s="1" t="inlineStr">
        <is>
          <t>BẢNG KÊ BẢN VẼ SHOP DRAWING — PHẦN KẾT CẤU</t>
        </is>
      </c>
      <c r="H1" s="105" t="inlineStr">
        <is>
          <t>← Mục lục</t>
        </is>
      </c>
    </row>
    <row r="2">
      <c r="A2" s="18" t="inlineStr">
        <is>
          <t>Công trình: Nhà văn phòng 9 tầng</t>
        </is>
      </c>
    </row>
    <row r="3">
      <c r="A3" s="48" t="inlineStr">
        <is>
          <t>Kèm phiếu chuyển giao số 15/2026</t>
        </is>
      </c>
    </row>
  </sheetData>
  <hyperlinks>
    <hyperlink ref="H1" location="'Mục lục'!A167" display="← Mục lục"/>
  </hyperlinks>
  <pageMargins left="0.7" right="0.7" top="0.75" bottom="0.75" header="0.3" footer="0.3"/>
</worksheet>
</file>

<file path=xl/worksheets/sheet143.xml><?xml version="1.0" encoding="utf-8"?>
<worksheet xmlns="http://schemas.openxmlformats.org/spreadsheetml/2006/main" xmlns:r="http://schemas.openxmlformats.org/officeDocument/2006/relationships">
  <dimension ref="A1:G15"/>
  <sheetViews>
    <sheetView workbookViewId="0">
      <selection activeCell="A3" sqref="A3:E15"/>
    </sheetView>
  </sheetViews>
  <sheetFormatPr defaultRowHeight="15"/>
  <cols>
    <col min="1" max="1" width="5.00" customWidth="1"/>
    <col min="2" max="2" width="14.00" customWidth="1"/>
    <col min="3" max="3" width="32.00" customWidth="1"/>
    <col min="4" max="4" width="7.00" customWidth="1"/>
    <col min="5" max="5" width="11.00" customWidth="1"/>
    <col min="7" max="7" width="12.00" customWidth="1"/>
  </cols>
  <sheetData>
    <row r="1">
      <c r="A1" s="1" t="inlineStr">
        <is>
          <t>BẢNG KHỐI LƯỢNG TỔNG HỢP — NHÀ VĂN PHÒNG 9 TẦNG</t>
        </is>
      </c>
      <c r="G1" s="105" t="inlineStr">
        <is>
          <t>← Mục lục</t>
        </is>
      </c>
    </row>
    <row r="3">
      <c r="A3" s="3" t="inlineStr">
        <is>
          <t>TT</t>
        </is>
      </c>
      <c r="B3" s="3" t="inlineStr">
        <is>
          <t>Hạng mục</t>
        </is>
      </c>
      <c r="C3" s="3" t="inlineStr">
        <is>
          <t>Nội dung công việc</t>
        </is>
      </c>
      <c r="D3" s="3" t="inlineStr">
        <is>
          <t>ĐVT</t>
        </is>
      </c>
      <c r="E3" s="3" t="inlineStr">
        <is>
          <t>Khối lượng</t>
        </is>
      </c>
    </row>
    <row r="4">
      <c r="A4" s="6">
        <v>1</v>
      </c>
      <c r="B4" s="4" t="inlineStr">
        <is>
          <t>Phần móng</t>
        </is>
      </c>
      <c r="C4" s="4" t="inlineStr">
        <is>
          <t>Đào đất hố móng</t>
        </is>
      </c>
      <c r="D4" s="6" t="inlineStr">
        <is>
          <t>m³</t>
        </is>
      </c>
      <c r="E4" s="32">
        <v>412.6</v>
      </c>
    </row>
    <row r="5">
      <c r="A5" s="6">
        <v>2</v>
      </c>
      <c r="B5" s="4" t="inlineStr">
        <is>
          <t>Phần móng</t>
        </is>
      </c>
      <c r="C5" s="4" t="inlineStr">
        <is>
          <t>Bê tông lót móng M100</t>
        </is>
      </c>
      <c r="D5" s="6" t="inlineStr">
        <is>
          <t>m³</t>
        </is>
      </c>
      <c r="E5" s="32">
        <v>18.4</v>
      </c>
    </row>
    <row r="6">
      <c r="A6" s="6">
        <v>3</v>
      </c>
      <c r="B6" s="4" t="inlineStr">
        <is>
          <t>Phần móng</t>
        </is>
      </c>
      <c r="C6" s="4" t="inlineStr">
        <is>
          <t>Bê tông móng B25</t>
        </is>
      </c>
      <c r="D6" s="6" t="inlineStr">
        <is>
          <t>m³</t>
        </is>
      </c>
      <c r="E6" s="32">
        <v>126.3</v>
      </c>
    </row>
    <row r="7">
      <c r="A7" s="6">
        <v>4</v>
      </c>
      <c r="B7" s="4" t="inlineStr">
        <is>
          <t>Phần móng</t>
        </is>
      </c>
      <c r="C7" s="4" t="inlineStr">
        <is>
          <t>Cốt thép móng CB400-V</t>
        </is>
      </c>
      <c r="D7" s="6" t="inlineStr">
        <is>
          <t>tấn</t>
        </is>
      </c>
      <c r="E7" s="11">
        <v>9.85</v>
      </c>
    </row>
    <row r="8">
      <c r="A8" s="6">
        <v>5</v>
      </c>
      <c r="B8" s="4" t="inlineStr">
        <is>
          <t>Phần thân</t>
        </is>
      </c>
      <c r="C8" s="4" t="inlineStr">
        <is>
          <t>Bê tông cột B30</t>
        </is>
      </c>
      <c r="D8" s="6" t="inlineStr">
        <is>
          <t>m³</t>
        </is>
      </c>
      <c r="E8" s="32">
        <v>38.7</v>
      </c>
    </row>
    <row r="9">
      <c r="A9" s="6">
        <v>6</v>
      </c>
      <c r="B9" s="4" t="inlineStr">
        <is>
          <t>Phần thân</t>
        </is>
      </c>
      <c r="C9" s="4" t="inlineStr">
        <is>
          <t>Bê tông dầm sàn B30</t>
        </is>
      </c>
      <c r="D9" s="6" t="inlineStr">
        <is>
          <t>m³</t>
        </is>
      </c>
      <c r="E9" s="32">
        <v>164.2</v>
      </c>
    </row>
    <row r="10">
      <c r="A10" s="6">
        <v>7</v>
      </c>
      <c r="B10" s="4" t="inlineStr">
        <is>
          <t>Phần thân</t>
        </is>
      </c>
      <c r="C10" s="4" t="inlineStr">
        <is>
          <t>Cốt thép dầm sàn CB400-V</t>
        </is>
      </c>
      <c r="D10" s="6" t="inlineStr">
        <is>
          <t>tấn</t>
        </is>
      </c>
      <c r="E10" s="32">
        <v>21.6</v>
      </c>
    </row>
    <row r="11">
      <c r="A11" s="6">
        <v>8</v>
      </c>
      <c r="B11" s="4" t="inlineStr">
        <is>
          <t>Phần thân</t>
        </is>
      </c>
      <c r="C11" s="4" t="inlineStr">
        <is>
          <t>Ván khuôn dầm sàn</t>
        </is>
      </c>
      <c r="D11" s="6" t="inlineStr">
        <is>
          <t>m²</t>
        </is>
      </c>
      <c r="E11" s="32">
        <v>1142.5</v>
      </c>
    </row>
    <row r="12">
      <c r="A12" s="6">
        <v>9</v>
      </c>
      <c r="B12" s="4" t="inlineStr">
        <is>
          <t>Hoàn thiện</t>
        </is>
      </c>
      <c r="C12" s="4" t="inlineStr">
        <is>
          <t>Xây tường gạch rỗng 220</t>
        </is>
      </c>
      <c r="D12" s="6" t="inlineStr">
        <is>
          <t>m³</t>
        </is>
      </c>
      <c r="E12" s="32">
        <v>96.8</v>
      </c>
    </row>
    <row r="13">
      <c r="A13" s="6">
        <v>10</v>
      </c>
      <c r="B13" s="4" t="inlineStr">
        <is>
          <t>Hoàn thiện</t>
        </is>
      </c>
      <c r="C13" s="4" t="inlineStr">
        <is>
          <t>Trát tường trong VXM M75</t>
        </is>
      </c>
      <c r="D13" s="6" t="inlineStr">
        <is>
          <t>m²</t>
        </is>
      </c>
      <c r="E13" s="32">
        <v>2316</v>
      </c>
    </row>
    <row r="14">
      <c r="A14" s="6">
        <v>11</v>
      </c>
      <c r="B14" s="4" t="inlineStr">
        <is>
          <t>Hoàn thiện</t>
        </is>
      </c>
      <c r="C14" s="4" t="inlineStr">
        <is>
          <t>Lát nền gạch granite 600x600</t>
        </is>
      </c>
      <c r="D14" s="6" t="inlineStr">
        <is>
          <t>m²</t>
        </is>
      </c>
      <c r="E14" s="32">
        <v>845</v>
      </c>
    </row>
    <row r="15">
      <c r="A15" s="6">
        <v>12</v>
      </c>
      <c r="B15" s="4" t="inlineStr">
        <is>
          <t>Hoàn thiện</t>
        </is>
      </c>
      <c r="C15" s="4" t="inlineStr">
        <is>
          <t>Sơn tường trong nhà</t>
        </is>
      </c>
      <c r="D15" s="6" t="inlineStr">
        <is>
          <t>m²</t>
        </is>
      </c>
      <c r="E15" s="32">
        <v>2316</v>
      </c>
    </row>
  </sheetData>
  <hyperlinks>
    <hyperlink ref="G1" location="'Mục lục'!A169" display="← Mục lục"/>
  </hyperlinks>
  <pageMargins left="0.7" right="0.7" top="0.75" bottom="0.75" header="0.3" footer="0.3"/>
</worksheet>
</file>

<file path=xl/worksheets/sheet144.xml><?xml version="1.0" encoding="utf-8"?>
<worksheet xmlns="http://schemas.openxmlformats.org/spreadsheetml/2006/main" xmlns:r="http://schemas.openxmlformats.org/officeDocument/2006/relationships">
  <dimension ref="A1:F12"/>
  <sheetViews>
    <sheetView workbookViewId="0">
      <selection activeCell="A1" sqref="A1"/>
    </sheetView>
  </sheetViews>
  <sheetFormatPr defaultRowHeight="15"/>
  <cols>
    <col min="1" max="1" width="15.00" customWidth="1"/>
    <col min="2" max="2" width="33.00" customWidth="1"/>
    <col min="3" max="3" width="23.00" customWidth="1"/>
    <col min="4" max="4" width="37.00" customWidth="1"/>
    <col min="6" max="6" width="12.00" customWidth="1"/>
  </cols>
  <sheetData>
    <row r="1">
      <c r="A1" s="1" t="inlineStr">
        <is>
          <t>So sánh sheet</t>
        </is>
      </c>
      <c r="B1" s="1" t="inlineStr">
        <is>
          <t>DuToan_PhatHanh.xlsx / Dự toán</t>
        </is>
      </c>
      <c r="C1" s="1" t="inlineStr">
        <is>
          <t>↔</t>
        </is>
      </c>
      <c r="D1" s="1" t="inlineStr">
        <is>
          <t>DuToan_NhaThauGuiLai.xlsx / Dự toán</t>
        </is>
      </c>
      <c r="F1" s="105" t="inlineStr">
        <is>
          <t>← Mục lục</t>
        </is>
      </c>
    </row>
    <row r="2">
      <c r="A2" s="18" t="inlineStr">
        <is>
          <t>Ô đã so</t>
        </is>
      </c>
      <c r="B2" s="18">
        <v>65</v>
      </c>
      <c r="C2" s="18" t="inlineStr">
        <is>
          <t>Khác nhau</t>
        </is>
      </c>
      <c r="D2" s="18">
        <v>8</v>
      </c>
    </row>
    <row r="4">
      <c r="A4" s="1" t="inlineStr">
        <is>
          <t>Ô</t>
        </is>
      </c>
      <c r="B4" s="1" t="inlineStr">
        <is>
          <t>Ở A</t>
        </is>
      </c>
      <c r="C4" s="1" t="inlineStr">
        <is>
          <t>Ở B</t>
        </is>
      </c>
      <c r="D4" s="1" t="inlineStr">
        <is>
          <t>Loại</t>
        </is>
      </c>
    </row>
    <row r="5">
      <c r="A5" s="18" t="inlineStr">
        <is>
          <t>E6</t>
        </is>
      </c>
      <c r="B5" s="18">
        <v>125000</v>
      </c>
      <c r="C5" s="18">
        <v>128500</v>
      </c>
      <c r="D5" s="18" t="inlineStr">
        <is>
          <t>khác nhau</t>
        </is>
      </c>
    </row>
    <row r="6">
      <c r="A6" s="18" t="inlineStr">
        <is>
          <t>E9</t>
        </is>
      </c>
      <c r="B6" s="18">
        <v>365000</v>
      </c>
      <c r="C6" s="18">
        <v>392000</v>
      </c>
      <c r="D6" s="18" t="inlineStr">
        <is>
          <t>khác nhau</t>
        </is>
      </c>
    </row>
    <row r="7">
      <c r="A7" s="18" t="inlineStr">
        <is>
          <t>D11</t>
        </is>
      </c>
      <c r="B7" s="18">
        <v>145</v>
      </c>
      <c r="C7" s="18">
        <v>152</v>
      </c>
      <c r="D7" s="18" t="inlineStr">
        <is>
          <t>khác nhau</t>
        </is>
      </c>
    </row>
    <row r="8">
      <c r="A8" s="18" t="inlineStr">
        <is>
          <t>A13</t>
        </is>
      </c>
      <c r="C8" s="18">
        <v>10</v>
      </c>
      <c r="D8" s="18" t="inlineStr">
        <is>
          <t>chỉ có ở B</t>
        </is>
      </c>
    </row>
    <row r="9">
      <c r="A9" s="18" t="inlineStr">
        <is>
          <t>B13</t>
        </is>
      </c>
      <c r="C9" s="18" t="inlineStr">
        <is>
          <t>Chống thấm sàn vệ sinh</t>
        </is>
      </c>
      <c r="D9" s="18" t="inlineStr">
        <is>
          <t>chỉ có ở B</t>
        </is>
      </c>
    </row>
    <row r="10">
      <c r="A10" s="18" t="inlineStr">
        <is>
          <t>C13</t>
        </is>
      </c>
      <c r="C10" s="18" t="inlineStr">
        <is>
          <t>m²</t>
        </is>
      </c>
      <c r="D10" s="18" t="inlineStr">
        <is>
          <t>chỉ có ở B</t>
        </is>
      </c>
    </row>
    <row r="11">
      <c r="A11" s="18" t="inlineStr">
        <is>
          <t>D13</t>
        </is>
      </c>
      <c r="C11" s="18">
        <v>86</v>
      </c>
      <c r="D11" s="18" t="inlineStr">
        <is>
          <t>chỉ có ở B</t>
        </is>
      </c>
    </row>
    <row r="12">
      <c r="A12" s="18" t="inlineStr">
        <is>
          <t>E13</t>
        </is>
      </c>
      <c r="C12" s="18">
        <v>245000</v>
      </c>
      <c r="D12" s="18" t="inlineStr">
        <is>
          <t>chỉ có ở B</t>
        </is>
      </c>
    </row>
  </sheetData>
  <hyperlinks>
    <hyperlink ref="F1" location="'Mục lục'!A170" display="← Mục lục"/>
  </hyperlinks>
  <pageMargins left="0.7" right="0.7" top="0.75" bottom="0.75" header="0.3" footer="0.3"/>
</worksheet>
</file>

<file path=xl/worksheets/sheet145.xml><?xml version="1.0" encoding="utf-8"?>
<worksheet xmlns="http://schemas.openxmlformats.org/spreadsheetml/2006/main" xmlns:r="http://schemas.openxmlformats.org/officeDocument/2006/relationships">
  <dimension ref="A1:G11"/>
  <sheetViews>
    <sheetView workbookViewId="0">
      <selection activeCell="A3" sqref="A3:E11"/>
    </sheetView>
  </sheetViews>
  <sheetFormatPr defaultRowHeight="15"/>
  <cols>
    <col min="1" max="1" width="5.00" customWidth="1"/>
    <col min="2" max="2" width="11.00" customWidth="1"/>
    <col min="3" max="3" width="32.00" customWidth="1"/>
    <col min="4" max="4" width="8.00" customWidth="1"/>
    <col min="5" max="5" width="11.00" customWidth="1"/>
    <col min="7" max="7" width="12.00" customWidth="1"/>
  </cols>
  <sheetData>
    <row r="1">
      <c r="A1" s="1" t="inlineStr">
        <is>
          <t>BẢNG KHỐI LƯỢNG — NHÀ VĂN PHÒNG 9 TẦNG</t>
        </is>
      </c>
      <c r="G1" s="105" t="inlineStr">
        <is>
          <t>← Mục lục</t>
        </is>
      </c>
    </row>
    <row r="3">
      <c r="A3" s="3" t="inlineStr">
        <is>
          <t>TT</t>
        </is>
      </c>
      <c r="B3" s="3" t="inlineStr">
        <is>
          <t>Mã hiệu</t>
        </is>
      </c>
      <c r="C3" s="3" t="inlineStr">
        <is>
          <t>Nội dung công việc</t>
        </is>
      </c>
      <c r="D3" s="3" t="inlineStr">
        <is>
          <t>Đơn vị</t>
        </is>
      </c>
      <c r="E3" s="3" t="inlineStr">
        <is>
          <t>Khối lượng</t>
        </is>
      </c>
    </row>
    <row r="4">
      <c r="A4" s="6">
        <v>1</v>
      </c>
      <c r="B4" s="4" t="inlineStr">
        <is>
          <t>AB.25112</t>
        </is>
      </c>
      <c r="C4" s="4" t="inlineStr">
        <is>
          <t>Đào móng bằng máy đào</t>
        </is>
      </c>
      <c r="D4" s="4"/>
      <c r="E4" s="32">
        <v>412.6</v>
      </c>
    </row>
    <row r="5">
      <c r="A5" s="6">
        <v>2</v>
      </c>
      <c r="B5" s="4" t="inlineStr">
        <is>
          <t>AF.11113</t>
        </is>
      </c>
      <c r="C5" s="4" t="inlineStr">
        <is>
          <t>Bê tông lót móng M100</t>
        </is>
      </c>
      <c r="D5" s="4"/>
      <c r="E5" s="32">
        <v>18.4</v>
      </c>
    </row>
    <row r="6">
      <c r="A6" s="6">
        <v>3</v>
      </c>
      <c r="B6" s="4" t="inlineStr">
        <is>
          <t>AF.61120</t>
        </is>
      </c>
      <c r="C6" s="4" t="inlineStr">
        <is>
          <t>Cốt thép móng d ≤ 18</t>
        </is>
      </c>
      <c r="D6" s="4"/>
      <c r="E6" s="11">
        <v>9.85</v>
      </c>
    </row>
    <row r="7">
      <c r="A7" s="6">
        <v>4</v>
      </c>
      <c r="B7" s="4" t="inlineStr">
        <is>
          <t>AF.11213</t>
        </is>
      </c>
      <c r="C7" s="4" t="inlineStr">
        <is>
          <t>Bê tông móng B25</t>
        </is>
      </c>
      <c r="D7" s="4"/>
      <c r="E7" s="32">
        <v>126.3</v>
      </c>
    </row>
    <row r="8">
      <c r="A8" s="6">
        <v>5</v>
      </c>
      <c r="B8" s="4" t="inlineStr">
        <is>
          <t>AF.81122</t>
        </is>
      </c>
      <c r="C8" s="4" t="inlineStr">
        <is>
          <t>Ván khuôn móng</t>
        </is>
      </c>
      <c r="D8" s="4"/>
      <c r="E8" s="32">
        <v>236</v>
      </c>
    </row>
    <row r="9">
      <c r="A9" s="6">
        <v>6</v>
      </c>
      <c r="B9" s="4" t="inlineStr">
        <is>
          <t>AE.22223</t>
        </is>
      </c>
      <c r="C9" s="4" t="inlineStr">
        <is>
          <t>Xây tường gạch rỗng 220</t>
        </is>
      </c>
      <c r="D9" s="4"/>
      <c r="E9" s="32">
        <v>96.8</v>
      </c>
    </row>
    <row r="10">
      <c r="A10" s="6">
        <v>7</v>
      </c>
      <c r="B10" s="4" t="inlineStr">
        <is>
          <t>AK.21224</t>
        </is>
      </c>
      <c r="C10" s="4" t="inlineStr">
        <is>
          <t>Trát tường trong VXM M75</t>
        </is>
      </c>
      <c r="D10" s="4"/>
      <c r="E10" s="32">
        <v>2316</v>
      </c>
    </row>
    <row r="11">
      <c r="A11" s="6">
        <v>8</v>
      </c>
      <c r="B11" s="4" t="inlineStr">
        <is>
          <t>AK.5122</t>
        </is>
      </c>
      <c r="C11" s="4" t="inlineStr">
        <is>
          <t>Lát nền gạch granite 600x600</t>
        </is>
      </c>
      <c r="D11" s="4"/>
      <c r="E11" s="32">
        <v>845</v>
      </c>
    </row>
  </sheetData>
  <hyperlinks>
    <hyperlink ref="G1" location="'Mục lục'!A171" display="← Mục lục"/>
  </hyperlinks>
  <pageMargins left="0.7" right="0.7" top="0.75" bottom="0.75" header="0.3" footer="0.3"/>
</worksheet>
</file>

<file path=xl/worksheets/sheet146.xml><?xml version="1.0" encoding="utf-8"?>
<worksheet xmlns="http://schemas.openxmlformats.org/spreadsheetml/2006/main" xmlns:r="http://schemas.openxmlformats.org/officeDocument/2006/relationships">
  <dimension ref="A1:F12"/>
  <sheetViews>
    <sheetView workbookViewId="0"/>
  </sheetViews>
  <sheetFormatPr defaultRowHeight="15"/>
  <cols>
    <col min="1" max="1" width="10.00" customWidth="1"/>
    <col min="2" max="2" width="31.00" customWidth="1"/>
    <col min="3" max="3" width="8.00" customWidth="1"/>
    <col min="4" max="4" width="12.00" customWidth="1"/>
    <col min="6" max="6" width="12.00" customWidth="1"/>
  </cols>
  <sheetData>
    <row r="1">
      <c r="A1" s="1" t="inlineStr">
        <is>
          <t>BẢNG ĐƠN GIÁ CÔNG TY — QUÝ IV/2026</t>
        </is>
      </c>
      <c r="F1" s="105" t="inlineStr">
        <is>
          <t>← Mục lục</t>
        </is>
      </c>
    </row>
    <row r="2">
      <c r="A2" s="81" t="inlineStr">
        <is>
          <t>Mã hiệu</t>
        </is>
      </c>
      <c r="B2" s="81" t="inlineStr">
        <is>
          <t>Tên công việc</t>
        </is>
      </c>
      <c r="C2" s="81" t="inlineStr">
        <is>
          <t>Đơn vị</t>
        </is>
      </c>
      <c r="D2" s="81" t="inlineStr">
        <is>
          <t>Đơn giá</t>
        </is>
      </c>
    </row>
    <row r="3">
      <c r="A3" s="4" t="inlineStr">
        <is>
          <t>AB.11213</t>
        </is>
      </c>
      <c r="B3" s="4" t="inlineStr">
        <is>
          <t>Đào móng thủ công, đất cấp III</t>
        </is>
      </c>
      <c r="C3" s="6" t="inlineStr">
        <is>
          <t>m³</t>
        </is>
      </c>
      <c r="D3" s="33">
        <v>285000</v>
      </c>
    </row>
    <row r="4">
      <c r="A4" s="4" t="inlineStr">
        <is>
          <t>AB.25112</t>
        </is>
      </c>
      <c r="B4" s="4" t="inlineStr">
        <is>
          <t>Đào móng bằng máy đào</t>
        </is>
      </c>
      <c r="C4" s="6" t="inlineStr">
        <is>
          <t>m³</t>
        </is>
      </c>
      <c r="D4" s="33">
        <v>86500</v>
      </c>
    </row>
    <row r="5">
      <c r="A5" s="4" t="inlineStr">
        <is>
          <t>AE.22223</t>
        </is>
      </c>
      <c r="B5" s="4" t="inlineStr">
        <is>
          <t>Xây tường gạch rỗng 220</t>
        </is>
      </c>
      <c r="C5" s="6" t="inlineStr">
        <is>
          <t>m³</t>
        </is>
      </c>
      <c r="D5" s="33">
        <v>1580000</v>
      </c>
    </row>
    <row r="6">
      <c r="A6" s="4" t="inlineStr">
        <is>
          <t>AF.11113</t>
        </is>
      </c>
      <c r="B6" s="4" t="inlineStr">
        <is>
          <t>Bê tông lót móng M100</t>
        </is>
      </c>
      <c r="C6" s="6" t="inlineStr">
        <is>
          <t>m³</t>
        </is>
      </c>
      <c r="D6" s="33">
        <v>1150000</v>
      </c>
    </row>
    <row r="7">
      <c r="A7" s="4" t="inlineStr">
        <is>
          <t>AF.11213</t>
        </is>
      </c>
      <c r="B7" s="4" t="inlineStr">
        <is>
          <t>Bê tông móng B25</t>
        </is>
      </c>
      <c r="C7" s="6" t="inlineStr">
        <is>
          <t>m³</t>
        </is>
      </c>
      <c r="D7" s="33">
        <v>1680000</v>
      </c>
    </row>
    <row r="8">
      <c r="A8" s="4" t="inlineStr">
        <is>
          <t>AF.61120</t>
        </is>
      </c>
      <c r="B8" s="4" t="inlineStr">
        <is>
          <t>Cốt thép móng d ≤ 18</t>
        </is>
      </c>
      <c r="C8" s="6" t="inlineStr">
        <is>
          <t>tấn</t>
        </is>
      </c>
      <c r="D8" s="33">
        <v>23400000</v>
      </c>
    </row>
    <row r="9">
      <c r="A9" s="4" t="inlineStr">
        <is>
          <t>AF.81122</t>
        </is>
      </c>
      <c r="B9" s="4" t="inlineStr">
        <is>
          <t>Ván khuôn móng</t>
        </is>
      </c>
      <c r="C9" s="6" t="inlineStr">
        <is>
          <t>m²</t>
        </is>
      </c>
      <c r="D9" s="33">
        <v>165000</v>
      </c>
    </row>
    <row r="10">
      <c r="A10" s="4" t="inlineStr">
        <is>
          <t>AK.21224</t>
        </is>
      </c>
      <c r="B10" s="4" t="inlineStr">
        <is>
          <t>Trát tường trong VXM M75</t>
        </is>
      </c>
      <c r="C10" s="6" t="inlineStr">
        <is>
          <t>m²</t>
        </is>
      </c>
      <c r="D10" s="33">
        <v>98000</v>
      </c>
    </row>
    <row r="11">
      <c r="A11" s="4" t="inlineStr">
        <is>
          <t>AK.51223</t>
        </is>
      </c>
      <c r="B11" s="4" t="inlineStr">
        <is>
          <t>Lát nền gạch granite 600x600</t>
        </is>
      </c>
      <c r="C11" s="6" t="inlineStr">
        <is>
          <t>m²</t>
        </is>
      </c>
      <c r="D11" s="33">
        <v>312000</v>
      </c>
    </row>
    <row r="12">
      <c r="A12" s="4" t="inlineStr">
        <is>
          <t>AK.84112</t>
        </is>
      </c>
      <c r="B12" s="4" t="inlineStr">
        <is>
          <t>Sơn tường trong nhà</t>
        </is>
      </c>
      <c r="C12" s="6" t="inlineStr">
        <is>
          <t>m²</t>
        </is>
      </c>
      <c r="D12" s="4"/>
    </row>
  </sheetData>
  <hyperlinks>
    <hyperlink ref="F1" location="'Mục lục'!A171" display="← Mục lục"/>
  </hyperlinks>
  <pageMargins left="0.7" right="0.7" top="0.75" bottom="0.75" header="0.3" footer="0.3"/>
</worksheet>
</file>

<file path=xl/worksheets/sheet147.xml><?xml version="1.0" encoding="utf-8"?>
<worksheet xmlns="http://schemas.openxmlformats.org/spreadsheetml/2006/main" xmlns:r="http://schemas.openxmlformats.org/officeDocument/2006/relationships">
  <dimension ref="A1:F7"/>
  <sheetViews>
    <sheetView workbookViewId="0">
      <selection activeCell="B3" sqref="B3:C7"/>
    </sheetView>
  </sheetViews>
  <sheetFormatPr defaultRowHeight="15"/>
  <cols>
    <col min="1" max="1" width="3.00" customWidth="1"/>
    <col min="2" max="2" width="18.00" customWidth="1"/>
    <col min="3" max="3" width="28.00" customWidth="1"/>
    <col min="4" max="4" width="18.00" customWidth="1"/>
    <col min="6" max="6" width="12.00" customWidth="1"/>
  </cols>
  <sheetData>
    <row r="1">
      <c r="F1" s="105" t="inlineStr">
        <is>
          <t>← Mục lục</t>
        </is>
      </c>
    </row>
    <row r="2">
      <c r="B2" s="3" t="inlineStr">
        <is>
          <t>Tên cũ</t>
        </is>
      </c>
      <c r="C2" s="3" t="inlineStr">
        <is>
          <t>Tên mới</t>
        </is>
      </c>
    </row>
    <row r="3">
      <c r="B3" s="4" t="inlineStr">
        <is>
          <t>IMG_2841.JPG</t>
        </is>
      </c>
      <c r="C3" s="4" t="inlineStr">
        <is>
          <t>NT-501_dam_truc-A.jpg</t>
        </is>
      </c>
    </row>
    <row r="4">
      <c r="B4" s="4" t="inlineStr">
        <is>
          <t>IMG_2842.JPG</t>
        </is>
      </c>
      <c r="C4" s="4" t="inlineStr">
        <is>
          <t>NT-501_dam_truc-B.jpg</t>
        </is>
      </c>
    </row>
    <row r="5">
      <c r="B5" s="4" t="inlineStr">
        <is>
          <t>IMG_2843.JPG</t>
        </is>
      </c>
      <c r="C5" s="4" t="inlineStr">
        <is>
          <t>NT-502_san_S1.jpg</t>
        </is>
      </c>
    </row>
    <row r="6">
      <c r="B6" s="4" t="inlineStr">
        <is>
          <t>IMG_2844.JPG</t>
        </is>
      </c>
      <c r="C6" s="4" t="inlineStr">
        <is>
          <t>NT-502_san_S2.jpg</t>
        </is>
      </c>
    </row>
    <row r="7">
      <c r="B7" s="4" t="inlineStr">
        <is>
          <t>IMG_2845.JPG</t>
        </is>
      </c>
      <c r="C7" s="4" t="inlineStr">
        <is>
          <t>NT-503_cot_C3.jpg</t>
        </is>
      </c>
    </row>
  </sheetData>
  <hyperlinks>
    <hyperlink ref="F1" location="'Mục lục'!A172" display="← Mục lục"/>
  </hyperlinks>
  <pageMargins left="0.7" right="0.7" top="0.75" bottom="0.75" header="0.3" footer="0.3"/>
</worksheet>
</file>

<file path=xl/worksheets/sheet148.xml><?xml version="1.0" encoding="utf-8"?>
<worksheet xmlns="http://schemas.openxmlformats.org/spreadsheetml/2006/main" xmlns:r="http://schemas.openxmlformats.org/officeDocument/2006/relationships">
  <dimension ref="A1:F7"/>
  <sheetViews>
    <sheetView workbookViewId="0">
      <selection activeCell="D3" sqref="D3:D7"/>
    </sheetView>
  </sheetViews>
  <sheetFormatPr defaultRowHeight="15"/>
  <cols>
    <col min="1" max="1" width="5.00" customWidth="1"/>
    <col min="2" max="2" width="9.00" customWidth="1"/>
    <col min="3" max="3" width="26.00" customWidth="1"/>
    <col min="4" max="4" width="44.00" customWidth="1"/>
    <col min="6" max="6" width="12.00" customWidth="1"/>
  </cols>
  <sheetData>
    <row r="1">
      <c r="A1" s="1" t="inlineStr">
        <is>
          <t>DANH MỤC BẢN VẼ THI CÔNG — PHẦN KIẾN TRÚC</t>
        </is>
      </c>
      <c r="F1" s="105" t="inlineStr">
        <is>
          <t>← Mục lục</t>
        </is>
      </c>
    </row>
    <row r="2">
      <c r="A2" s="3" t="inlineStr">
        <is>
          <t>TT</t>
        </is>
      </c>
      <c r="B2" s="3" t="inlineStr">
        <is>
          <t>Ký hiệu</t>
        </is>
      </c>
      <c r="C2" s="3" t="inlineStr">
        <is>
          <t>Tên bản vẽ</t>
        </is>
      </c>
      <c r="D2" s="3" t="inlineStr">
        <is>
          <t>Đường dẫn file</t>
        </is>
      </c>
    </row>
    <row r="3">
      <c r="A3" s="6">
        <v>1</v>
      </c>
      <c r="B3" s="4" t="inlineStr">
        <is>
          <t>KT-01</t>
        </is>
      </c>
      <c r="C3" s="4" t="inlineStr">
        <is>
          <t>Mặt bằng tầng 1</t>
        </is>
      </c>
      <c r="D3" s="4" t="inlineStr">
        <is>
          <t>D:\DuAn\NhaVanPhong\TKBVTC\KT-01.pdf</t>
        </is>
      </c>
    </row>
    <row r="4">
      <c r="A4" s="6">
        <v>2</v>
      </c>
      <c r="B4" s="4" t="inlineStr">
        <is>
          <t>KT-02</t>
        </is>
      </c>
      <c r="C4" s="4" t="inlineStr">
        <is>
          <t>Mặt bằng tầng 2–8</t>
        </is>
      </c>
      <c r="D4" s="4" t="inlineStr">
        <is>
          <t>D:\DuAn\NhaVanPhong\TKBVTC\KT-02.pdf</t>
        </is>
      </c>
    </row>
    <row r="5">
      <c r="A5" s="6">
        <v>3</v>
      </c>
      <c r="B5" s="4" t="inlineStr">
        <is>
          <t>KT-03</t>
        </is>
      </c>
      <c r="C5" s="4" t="inlineStr">
        <is>
          <t>Mặt đứng trục 1–8</t>
        </is>
      </c>
      <c r="D5" s="4" t="inlineStr">
        <is>
          <t>D:\DuAn\NhaVanPhong\TKBVTC\KT-03.pdf</t>
        </is>
      </c>
    </row>
    <row r="6">
      <c r="A6" s="6">
        <v>4</v>
      </c>
      <c r="B6" s="4" t="inlineStr">
        <is>
          <t>KT-04</t>
        </is>
      </c>
      <c r="C6" s="4" t="inlineStr">
        <is>
          <t>Mặt cắt A-A</t>
        </is>
      </c>
      <c r="D6" s="4" t="inlineStr">
        <is>
          <t>D:\DuAn\NhaVanPhong\TKBVTC\KT-04.pdf</t>
        </is>
      </c>
    </row>
    <row r="7">
      <c r="A7" s="6">
        <v>5</v>
      </c>
      <c r="B7" s="4" t="inlineStr">
        <is>
          <t>KT-05</t>
        </is>
      </c>
      <c r="C7" s="4" t="inlineStr">
        <is>
          <t>Chi tiết cầu thang bộ</t>
        </is>
      </c>
      <c r="D7" s="4" t="inlineStr">
        <is>
          <t>D:\DuAn\NhaVanPhong\TKBVTC\KT-05.pdf</t>
        </is>
      </c>
    </row>
  </sheetData>
  <hyperlinks>
    <hyperlink ref="F1" location="'Mục lục'!A174" display="← Mục lục"/>
  </hyperlinks>
  <pageMargins left="0.7" right="0.7" top="0.75" bottom="0.75" header="0.3" footer="0.3"/>
</worksheet>
</file>

<file path=xl/worksheets/sheet149.xml><?xml version="1.0" encoding="utf-8"?>
<worksheet xmlns="http://schemas.openxmlformats.org/spreadsheetml/2006/main" xmlns:r="http://schemas.openxmlformats.org/officeDocument/2006/relationships">
  <dimension ref="A1:F9"/>
  <sheetViews>
    <sheetView workbookViewId="0">
      <selection activeCell="A2" sqref="A2:C9"/>
    </sheetView>
  </sheetViews>
  <sheetFormatPr defaultRowHeight="15"/>
  <cols>
    <col min="1" max="1" width="16.00" customWidth="1"/>
    <col min="2" max="2" width="16.00" customWidth="1"/>
    <col min="3" max="3" width="14.00" customWidth="1"/>
    <col min="4" max="4" width="8.40" customWidth="1"/>
    <col min="6" max="6" width="12.00" customWidth="1"/>
  </cols>
  <sheetData>
    <row r="1">
      <c r="F1" s="105" t="inlineStr">
        <is>
          <t>← Mục lục</t>
        </is>
      </c>
    </row>
    <row r="2">
      <c r="A2" s="18" t="inlineStr">
        <is>
          <t>NhaVanPhong9T</t>
        </is>
      </c>
      <c r="B2" s="18" t="inlineStr">
        <is>
          <t>01_HoSoPhapLy</t>
        </is>
      </c>
      <c r="C2" s="18" t="inlineStr">
        <is>
          <t>HopDong</t>
        </is>
      </c>
    </row>
    <row r="3">
      <c r="C3" s="18" t="inlineStr">
        <is>
          <t>GiayPhepXD</t>
        </is>
      </c>
    </row>
    <row r="4">
      <c r="B4" s="18" t="inlineStr">
        <is>
          <t>02_TKBVTC</t>
        </is>
      </c>
      <c r="C4" s="18" t="inlineStr">
        <is>
          <t>KienTruc</t>
        </is>
      </c>
    </row>
    <row r="5">
      <c r="C5" s="18" t="inlineStr">
        <is>
          <t>KetCau</t>
        </is>
      </c>
    </row>
    <row r="6">
      <c r="C6" s="18" t="inlineStr">
        <is>
          <t>MEP</t>
        </is>
      </c>
    </row>
    <row r="7">
      <c r="B7" s="18" t="inlineStr">
        <is>
          <t>03_NghiemThu</t>
        </is>
      </c>
      <c r="C7" s="18" t="inlineStr">
        <is>
          <t>Thang_09</t>
        </is>
      </c>
    </row>
    <row r="8">
      <c r="C8" s="18" t="inlineStr">
        <is>
          <t>Thang_10</t>
        </is>
      </c>
    </row>
    <row r="9">
      <c r="B9" s="18" t="inlineStr">
        <is>
          <t>04_NhatKy</t>
        </is>
      </c>
    </row>
  </sheetData>
  <hyperlinks>
    <hyperlink ref="F1" location="'Mục lục'!A176" display="← Mục lục"/>
  </hyperlinks>
  <pageMargins left="0.7" right="0.7" top="0.75" bottom="0.75" header="0.3" footer="0.3"/>
</worksheet>
</file>

<file path=xl/worksheets/sheet150.xml><?xml version="1.0" encoding="utf-8"?>
<worksheet xmlns="http://schemas.openxmlformats.org/spreadsheetml/2006/main" xmlns:r="http://schemas.openxmlformats.org/officeDocument/2006/relationships">
  <dimension ref="A1:D3"/>
  <sheetViews>
    <sheetView workbookViewId="0">
      <selection activeCell="B4" sqref="B4"/>
    </sheetView>
  </sheetViews>
  <sheetFormatPr defaultRowHeight="15"/>
  <cols>
    <col min="1" max="1" width="3.00" customWidth="1"/>
    <col min="2" max="2" width="86.00" customWidth="1"/>
    <col min="4" max="4" width="12.00" customWidth="1"/>
  </cols>
  <sheetData>
    <row r="1">
      <c r="B1" s="1" t="inlineStr">
        <is>
          <t>BIÊN BẢN HỌP GIAO BAN CÔNG TRƯỜNG</t>
        </is>
      </c>
      <c r="D1" s="105" t="inlineStr">
        <is>
          <t>← Mục lục</t>
        </is>
      </c>
    </row>
    <row r="2">
      <c r="B2" s="48" t="inlineStr">
        <is>
          <t>Ngày 05/10/2026 — Nhà văn phòng 9 tầng</t>
        </is>
      </c>
    </row>
    <row r="3">
      <c r="B3" s="82" t="inlineStr">
        <is>
          <t>Nội dung (gỡ băng ghi âm)</t>
        </is>
      </c>
    </row>
  </sheetData>
  <hyperlinks>
    <hyperlink ref="D1" location="'Mục lục'!A180" display="← Mục lục"/>
  </hyperlinks>
  <pageMargins left="0.7" right="0.7" top="0.75" bottom="0.75" header="0.3" footer="0.3"/>
</worksheet>
</file>

<file path=xl/worksheets/sheet151.xml><?xml version="1.0" encoding="utf-8"?>
<worksheet xmlns="http://schemas.openxmlformats.org/spreadsheetml/2006/main" xmlns:r="http://schemas.openxmlformats.org/officeDocument/2006/relationships">
  <dimension ref="A1:D2"/>
  <sheetViews>
    <sheetView workbookViewId="0">
      <selection activeCell="A3" sqref="A3"/>
    </sheetView>
  </sheetViews>
  <sheetFormatPr defaultRowHeight="15"/>
  <cols>
    <col min="1" max="1" width="62.00" customWidth="1"/>
    <col min="2" max="2" width="12.00" customWidth="1"/>
    <col min="4" max="4" width="12.00" customWidth="1"/>
  </cols>
  <sheetData>
    <row r="1">
      <c r="A1" s="1" t="inlineStr">
        <is>
          <t>CHỨNG CHỈ CHẤT LƯỢNG THÉP D16 — LÔ A245</t>
        </is>
      </c>
      <c r="D1" s="105" t="inlineStr">
        <is>
          <t>← Mục lục</t>
        </is>
      </c>
    </row>
    <row r="2">
      <c r="A2" s="83" t="inlineStr">
        <is>
          <t>Nội dung chép từ chứng chỉ (OCR):</t>
        </is>
      </c>
    </row>
  </sheetData>
  <hyperlinks>
    <hyperlink ref="D1" location="'Mục lục'!A187" display="← Mục lục"/>
  </hyperlinks>
  <pageMargins left="0.7" right="0.7" top="0.75" bottom="0.75" header="0.3" footer="0.3"/>
</worksheet>
</file>

<file path=xl/worksheets/sheet152.xml><?xml version="1.0" encoding="utf-8"?>
<worksheet xmlns="http://schemas.openxmlformats.org/spreadsheetml/2006/main" xmlns:r="http://schemas.openxmlformats.org/officeDocument/2006/relationships">
  <dimension ref="A1:I4"/>
  <sheetViews>
    <sheetView workbookViewId="0">
      <selection activeCell="A4" sqref="A4"/>
    </sheetView>
  </sheetViews>
  <sheetFormatPr defaultRowHeight="15"/>
  <cols>
    <col min="1" max="1" width="5.00" customWidth="1"/>
    <col min="2" max="2" width="13.00" customWidth="1"/>
    <col min="3" max="3" width="11.00" customWidth="1"/>
    <col min="4" max="4" width="13.00" customWidth="1"/>
    <col min="5" max="5" width="15.00" customWidth="1"/>
    <col min="6" max="6" width="15.00" customWidth="1"/>
    <col min="7" max="7" width="14.00" customWidth="1"/>
    <col min="9" max="9" width="12.00" customWidth="1"/>
  </cols>
  <sheetData>
    <row r="1">
      <c r="A1" s="1" t="inlineStr">
        <is>
          <t>KẾT QUẢ THÍ NGHIỆM KÉO THÉP — NHÀ VĂN PHÒNG 9 TẦNG</t>
        </is>
      </c>
      <c r="I1" s="105" t="inlineStr">
        <is>
          <t>← Mục lục</t>
        </is>
      </c>
    </row>
    <row r="2">
      <c r="A2" s="83" t="inlineStr">
        <is>
          <t>Phiếu kết quả số TN-245/2026 (trích từ file PDF của phòng thí nghiệm)</t>
        </is>
      </c>
    </row>
    <row r="4" ht="28.50" customHeight="1"/>
  </sheetData>
  <hyperlinks>
    <hyperlink ref="I1" location="'Mục lục'!A188" display="← Mục lục"/>
  </hyperlinks>
  <pageMargins left="0.7" right="0.7" top="0.75" bottom="0.75" header="0.3" footer="0.3"/>
</worksheet>
</file>

<file path=xl/worksheets/sheet153.xml><?xml version="1.0" encoding="utf-8"?>
<worksheet xmlns="http://schemas.openxmlformats.org/spreadsheetml/2006/main" xmlns:r="http://schemas.openxmlformats.org/officeDocument/2006/relationships">
  <dimension ref="A1:F7"/>
  <sheetViews>
    <sheetView workbookViewId="0">
      <selection activeCell="D7" sqref="D7"/>
    </sheetView>
  </sheetViews>
  <sheetFormatPr defaultRowHeight="15"/>
  <cols>
    <col min="1" max="1" width="5.00" customWidth="1"/>
    <col min="2" max="2" width="22.00" customWidth="1"/>
    <col min="3" max="3" width="13.00" customWidth="1"/>
    <col min="4" max="4" width="72.00" customWidth="1"/>
    <col min="6" max="6" width="12.00" customWidth="1"/>
  </cols>
  <sheetData>
    <row r="1">
      <c r="A1" s="1" t="inlineStr">
        <is>
          <t>BẢNG THEO DÕI CẤP PHỐI BÊ TÔNG — NHÀ VĂN PHÒNG 9 TẦNG</t>
        </is>
      </c>
      <c r="F1" s="105" t="inlineStr">
        <is>
          <t>← Mục lục</t>
        </is>
      </c>
    </row>
    <row r="3">
      <c r="A3" s="3" t="inlineStr">
        <is>
          <t>TT</t>
        </is>
      </c>
      <c r="B3" s="3" t="inlineStr">
        <is>
          <t>Hạng mục</t>
        </is>
      </c>
      <c r="C3" s="3" t="inlineStr">
        <is>
          <t>Mác bê tông</t>
        </is>
      </c>
      <c r="D3" s="84" t="inlineStr">
        <is>
          <t>Thành phần cấp phối cho 1 m³</t>
        </is>
      </c>
    </row>
    <row r="4">
      <c r="A4" s="6">
        <v>1</v>
      </c>
      <c r="B4" s="4" t="inlineStr">
        <is>
          <t>Bê tông lót móng</t>
        </is>
      </c>
      <c r="C4" s="6" t="inlineStr">
        <is>
          <t>B7,5 (M100)</t>
        </is>
      </c>
      <c r="D4" s="4" t="inlineStr">
        <is>
          <t>Xi măng PCB40: 230 kg — Cát vàng: 520 kg — Đá 4×6: 900 kg — Nước: 175 lít</t>
        </is>
      </c>
    </row>
    <row r="5">
      <c r="A5" s="6">
        <v>2</v>
      </c>
      <c r="B5" s="4" t="inlineStr">
        <is>
          <t>Móng, giằng móng</t>
        </is>
      </c>
      <c r="C5" s="6" t="inlineStr">
        <is>
          <t>B25 (M350)</t>
        </is>
      </c>
      <c r="D5" s="4" t="inlineStr">
        <is>
          <t>Xi măng PCB40: 390 kg — Cát vàng: 620 kg — Đá 1×2: 1170 kg — Nước: 190 lít</t>
        </is>
      </c>
    </row>
    <row r="6">
      <c r="A6" s="6">
        <v>3</v>
      </c>
      <c r="B6" s="4" t="inlineStr">
        <is>
          <t>Cột, vách tầng 1–3</t>
        </is>
      </c>
      <c r="C6" s="6" t="inlineStr">
        <is>
          <t>B25 (M350)</t>
        </is>
      </c>
      <c r="D6" s="4" t="inlineStr">
        <is>
          <t>Xi măng PCB40: 390 kg — Cát vàng: 620 kg — Đá 1×2: 1170 kg — Nước: 190 lít</t>
        </is>
      </c>
    </row>
    <row r="7">
      <c r="A7" s="6">
        <v>4</v>
      </c>
      <c r="B7" s="4" t="inlineStr">
        <is>
          <t>Dầm, sàn tầng 3</t>
        </is>
      </c>
      <c r="C7" s="6" t="inlineStr">
        <is>
          <t>B22,5 (M300)</t>
        </is>
      </c>
      <c r="D7" s="4"/>
    </row>
  </sheetData>
  <hyperlinks>
    <hyperlink ref="F1" location="'Mục lục'!A189" display="← Mục lục"/>
  </hyperlinks>
  <pageMargins left="0.7" right="0.7" top="0.75" bottom="0.75" header="0.3" footer="0.3"/>
</worksheet>
</file>

<file path=xl/worksheets/sheet154.xml><?xml version="1.0" encoding="utf-8"?>
<worksheet xmlns="http://schemas.openxmlformats.org/spreadsheetml/2006/main" xmlns:r="http://schemas.openxmlformats.org/officeDocument/2006/relationships">
  <dimension ref="A1:G8"/>
  <sheetViews>
    <sheetView workbookViewId="0">
      <selection activeCell="B3" sqref="B3"/>
    </sheetView>
  </sheetViews>
  <sheetFormatPr defaultRowHeight="15"/>
  <cols>
    <col min="1" max="1" width="18.00" customWidth="1"/>
    <col min="2" max="2" width="34.00" customWidth="1"/>
    <col min="3" max="3" width="4.00" customWidth="1"/>
    <col min="4" max="4" width="11.00" customWidth="1"/>
    <col min="5" max="5" width="18.00" customWidth="1"/>
    <col min="7" max="7" width="12.00" customWidth="1"/>
  </cols>
  <sheetData>
    <row r="1">
      <c r="A1" s="29" t="inlineStr">
        <is>
          <t>BIÊN BẢN NGHIỆM THU CÔNG VIỆC XÂY DỰNG</t>
        </is>
      </c>
      <c r="G1" s="105" t="inlineStr">
        <is>
          <t>← Mục lục</t>
        </is>
      </c>
    </row>
    <row r="3">
      <c r="A3" s="48" t="inlineStr">
        <is>
          <t>Số thứ tự cấu kiện:</t>
        </is>
      </c>
      <c r="B3" s="85">
        <v>1</v>
      </c>
      <c r="D3" s="48" t="inlineStr">
        <is>
          <t>Sheet in:</t>
        </is>
      </c>
      <c r="E3" s="86" t="inlineStr">
        <is>
          <t>BBNT+PhuLuc</t>
        </is>
      </c>
    </row>
    <row r="5">
      <c r="A5" s="25" t="inlineStr">
        <is>
          <t>Cấu kiện:</t>
        </is>
      </c>
      <c r="B5" s="4" t="inlineStr">
        <is>
          <t>Cột C1 — trục A/1, tầng 3</t>
        </is>
      </c>
      <c r="D5" s="48" t="inlineStr">
        <is>
          <t>Tên file:</t>
        </is>
      </c>
      <c r="E5" s="86" t="inlineStr">
        <is>
          <t>BBNT_Cot_1</t>
        </is>
      </c>
    </row>
    <row r="6">
      <c r="A6" s="25" t="inlineStr">
        <is>
          <t>Cao độ:</t>
        </is>
      </c>
      <c r="B6" s="4" t="inlineStr">
        <is>
          <t>+7,200 ÷ +10,800</t>
        </is>
      </c>
    </row>
    <row r="7">
      <c r="A7" s="25" t="inlineStr">
        <is>
          <t>Mác bê tông:</t>
        </is>
      </c>
      <c r="B7" s="4" t="inlineStr">
        <is>
          <t>B25 (M350)</t>
        </is>
      </c>
    </row>
    <row r="8">
      <c r="A8" s="25" t="inlineStr">
        <is>
          <t>Ngày nghiệm thu:</t>
        </is>
      </c>
      <c r="B8" s="55">
        <v>46307</v>
      </c>
    </row>
  </sheetData>
  <mergeCells count="1">
    <mergeCell ref="A1:E1"/>
  </mergeCells>
  <hyperlinks>
    <hyperlink ref="G1" location="'Mục lục'!A190" display="← Mục lục"/>
  </hyperlinks>
  <pageMargins left="0.7" right="0.7" top="0.75" bottom="0.75" header="0.3" footer="0.3"/>
</worksheet>
</file>

<file path=xl/worksheets/sheet155.xml><?xml version="1.0" encoding="utf-8"?>
<worksheet xmlns="http://schemas.openxmlformats.org/spreadsheetml/2006/main" xmlns:r="http://schemas.openxmlformats.org/officeDocument/2006/relationships">
  <dimension ref="A1:G6"/>
  <sheetViews>
    <sheetView workbookViewId="0">
      <selection activeCell="B5" sqref="B5"/>
    </sheetView>
  </sheetViews>
  <sheetFormatPr defaultRowHeight="15"/>
  <cols>
    <col min="1" max="1" width="5.00" customWidth="1"/>
    <col min="2" max="2" width="34.00" customWidth="1"/>
    <col min="3" max="3" width="9.00" customWidth="1"/>
    <col min="4" max="4" width="12.00" customWidth="1"/>
    <col min="5" max="5" width="14.00" customWidth="1"/>
    <col min="7" max="7" width="12.00" customWidth="1"/>
  </cols>
  <sheetData>
    <row r="1">
      <c r="A1" s="29" t="inlineStr">
        <is>
          <t>BIÊN BẢN NGHIỆM THU CÔNG VIỆC XÂY DỰNG</t>
        </is>
      </c>
      <c r="G1" s="105" t="inlineStr">
        <is>
          <t>← Mục lục</t>
        </is>
      </c>
    </row>
    <row r="2">
      <c r="A2" s="30" t="inlineStr">
        <is>
          <t>Số: BB-01/NT — Công trình: Nhà văn phòng 9 tầng</t>
        </is>
      </c>
    </row>
    <row r="4">
      <c r="A4" s="3" t="inlineStr">
        <is>
          <t>TT</t>
        </is>
      </c>
      <c r="B4" s="3" t="inlineStr">
        <is>
          <t>Công việc nghiệm thu</t>
        </is>
      </c>
      <c r="C4" s="3" t="inlineStr">
        <is>
          <t>ĐVT</t>
        </is>
      </c>
      <c r="D4" s="3" t="inlineStr">
        <is>
          <t>Khối lượng</t>
        </is>
      </c>
      <c r="E4" s="3" t="inlineStr">
        <is>
          <t>Kết luận</t>
        </is>
      </c>
    </row>
    <row r="5">
      <c r="A5" s="6">
        <v>1</v>
      </c>
      <c r="B5" s="4" t="inlineStr">
        <is>
          <t>Cốt thép cột tầng 3 (trục 1–5)</t>
        </is>
      </c>
      <c r="C5" s="6" t="inlineStr">
        <is>
          <t>tấn</t>
        </is>
      </c>
      <c r="D5" s="11">
        <v>4.85</v>
      </c>
      <c r="E5" s="6" t="inlineStr">
        <is>
          <t>Đạt</t>
        </is>
      </c>
    </row>
    <row r="6">
      <c r="A6" s="6">
        <v>2</v>
      </c>
      <c r="B6" s="4" t="inlineStr">
        <is>
          <t>Ván khuôn cột tầng 3</t>
        </is>
      </c>
      <c r="C6" s="6" t="inlineStr">
        <is>
          <t>m²</t>
        </is>
      </c>
      <c r="D6" s="32">
        <v>126.4</v>
      </c>
      <c r="E6" s="6" t="inlineStr">
        <is>
          <t>Đạt</t>
        </is>
      </c>
    </row>
  </sheetData>
  <mergeCells count="2">
    <mergeCell ref="A1:E1"/>
    <mergeCell ref="A2:E2"/>
  </mergeCells>
  <hyperlinks>
    <hyperlink ref="G1" location="'Mục lục'!A191" display="← Mục lục"/>
  </hyperlinks>
  <pageMargins left="0.7" right="0.7" top="0.75" bottom="0.75" header="0.3" footer="0.3"/>
</worksheet>
</file>

<file path=xl/worksheets/sheet156.xml><?xml version="1.0" encoding="utf-8"?>
<worksheet xmlns="http://schemas.openxmlformats.org/spreadsheetml/2006/main" xmlns:r="http://schemas.openxmlformats.org/officeDocument/2006/relationships">
  <dimension ref="A1:G7"/>
  <sheetViews>
    <sheetView workbookViewId="0">
      <selection activeCell="B5" sqref="B5"/>
    </sheetView>
  </sheetViews>
  <sheetFormatPr defaultRowHeight="15"/>
  <cols>
    <col min="1" max="1" width="5.00" customWidth="1"/>
    <col min="2" max="2" width="36.00" customWidth="1"/>
    <col min="3" max="3" width="7.00" customWidth="1"/>
    <col min="4" max="4" width="12.00" customWidth="1"/>
    <col min="5" max="5" width="14.00" customWidth="1"/>
    <col min="7" max="7" width="12.00" customWidth="1"/>
  </cols>
  <sheetData>
    <row r="1">
      <c r="A1" s="1" t="inlineStr">
        <is>
          <t>BẢNG KHỐI LƯỢNG HOÀN THÀNH — ĐỢT 3</t>
        </is>
      </c>
      <c r="G1" s="105" t="inlineStr">
        <is>
          <t>← Mục lục</t>
        </is>
      </c>
    </row>
    <row r="2">
      <c r="A2" s="48" t="inlineStr">
        <is>
          <t>Công trình: Nhà văn phòng 9 tầng</t>
        </is>
      </c>
    </row>
    <row r="4">
      <c r="A4" s="3" t="inlineStr">
        <is>
          <t>TT</t>
        </is>
      </c>
      <c r="B4" s="3" t="inlineStr">
        <is>
          <t>Nội dung công việc</t>
        </is>
      </c>
      <c r="C4" s="3" t="inlineStr">
        <is>
          <t>ĐVT</t>
        </is>
      </c>
      <c r="D4" s="3" t="inlineStr">
        <is>
          <t>Khối lượng</t>
        </is>
      </c>
      <c r="E4" s="3" t="inlineStr">
        <is>
          <t>Ghi chú</t>
        </is>
      </c>
    </row>
    <row r="5">
      <c r="A5" s="6">
        <v>1</v>
      </c>
      <c r="B5" s="4" t="inlineStr">
        <is>
          <t>Bê tông cột tầng 3, B25</t>
        </is>
      </c>
      <c r="C5" s="6" t="inlineStr">
        <is>
          <t>m³</t>
        </is>
      </c>
      <c r="D5" s="32">
        <v>38.6</v>
      </c>
      <c r="E5" s="4"/>
    </row>
    <row r="6">
      <c r="A6" s="6">
        <v>2</v>
      </c>
      <c r="B6" s="4" t="inlineStr">
        <is>
          <t>Cốt thép cột tầng 3, CB400-V</t>
        </is>
      </c>
      <c r="C6" s="6" t="inlineStr">
        <is>
          <t>tấn</t>
        </is>
      </c>
      <c r="D6" s="11">
        <v>6.42</v>
      </c>
      <c r="E6" s="4"/>
    </row>
    <row r="7">
      <c r="A7" s="6">
        <v>3</v>
      </c>
      <c r="B7" s="4" t="inlineStr">
        <is>
          <t>Ván khuôn cột tầng 3</t>
        </is>
      </c>
      <c r="C7" s="6" t="inlineStr">
        <is>
          <t>m²</t>
        </is>
      </c>
      <c r="D7" s="32">
        <v>312.8</v>
      </c>
      <c r="E7" s="4"/>
    </row>
  </sheetData>
  <hyperlinks>
    <hyperlink ref="G1" location="'Mục lục'!A195" display="← Mục lục"/>
  </hyperlinks>
  <pageMargins left="0.7" right="0.7" top="0.75" bottom="0.75" header="0.3" footer="0.3"/>
</worksheet>
</file>

<file path=xl/worksheets/sheet157.xml><?xml version="1.0" encoding="utf-8"?>
<worksheet xmlns="http://schemas.openxmlformats.org/spreadsheetml/2006/main" xmlns:r="http://schemas.openxmlformats.org/officeDocument/2006/relationships">
  <dimension ref="A1:J7"/>
  <sheetViews>
    <sheetView workbookViewId="0">
      <selection activeCell="B3" sqref="B3"/>
    </sheetView>
  </sheetViews>
  <sheetFormatPr defaultRowHeight="15"/>
  <cols>
    <col min="1" max="1" width="2.00" customWidth="1"/>
    <col min="2" max="2" width="5.00" customWidth="1"/>
    <col min="3" max="3" width="10.00" customWidth="1"/>
    <col min="4" max="4" width="16.00" customWidth="1"/>
    <col min="5" max="5" width="19.00" customWidth="1"/>
    <col min="6" max="6" width="17.00" customWidth="1"/>
    <col min="7" max="7" width="6.00" customWidth="1"/>
    <col min="8" max="8" width="34.00" customWidth="1"/>
    <col min="10" max="10" width="12.00" customWidth="1"/>
  </cols>
  <sheetData>
    <row r="1">
      <c r="B1" s="1" t="inlineStr">
        <is>
          <t>DANH MỤC GỬI EMAIL</t>
        </is>
      </c>
      <c r="J1" s="105" t="inlineStr">
        <is>
          <t>← Mục lục</t>
        </is>
      </c>
    </row>
    <row r="3">
      <c r="B3" s="87">
        <v>1</v>
      </c>
      <c r="C3" s="86"/>
      <c r="D3" s="86" t="inlineStr">
        <is>
          <t>qlda@congty.vn</t>
        </is>
      </c>
      <c r="E3" s="86" t="inlineStr">
        <is>
          <t>ntp.dien@congty.vn</t>
        </is>
      </c>
      <c r="F3" s="86" t="inlineStr">
        <is>
          <t>giamsat@congty.vn</t>
        </is>
      </c>
      <c r="G3" s="86"/>
      <c r="H3" s="86" t="inlineStr">
        <is>
          <t>YCNT — Điện tầng 3</t>
        </is>
      </c>
    </row>
    <row r="4">
      <c r="B4" s="3" t="inlineStr">
        <is>
          <t>No.</t>
        </is>
      </c>
      <c r="C4" s="3" t="inlineStr">
        <is>
          <t>Send Date</t>
        </is>
      </c>
      <c r="D4" s="3" t="inlineStr">
        <is>
          <t>Sender Email</t>
        </is>
      </c>
      <c r="E4" s="3" t="inlineStr">
        <is>
          <t>To</t>
        </is>
      </c>
      <c r="F4" s="3" t="inlineStr">
        <is>
          <t>Cc</t>
        </is>
      </c>
      <c r="G4" s="3" t="inlineStr">
        <is>
          <t>Bcc</t>
        </is>
      </c>
      <c r="H4" s="3" t="inlineStr">
        <is>
          <t>Subject</t>
        </is>
      </c>
    </row>
    <row r="5">
      <c r="B5" s="6">
        <v>1</v>
      </c>
      <c r="C5" s="4"/>
      <c r="D5" s="4" t="inlineStr">
        <is>
          <t>qlda@congty.vn</t>
        </is>
      </c>
      <c r="E5" s="4" t="inlineStr">
        <is>
          <t>ntp.dien@congty.vn</t>
        </is>
      </c>
      <c r="F5" s="4" t="inlineStr">
        <is>
          <t>giamsat@congty.vn</t>
        </is>
      </c>
      <c r="G5" s="4"/>
      <c r="H5" s="4" t="inlineStr">
        <is>
          <t>YCNT — Điện tầng 3</t>
        </is>
      </c>
    </row>
    <row r="6">
      <c r="B6" s="6">
        <v>2</v>
      </c>
      <c r="C6" s="4"/>
      <c r="D6" s="4" t="inlineStr">
        <is>
          <t>qlda@congty.vn</t>
        </is>
      </c>
      <c r="E6" s="4" t="inlineStr">
        <is>
          <t>ntp.nuoc@congty.vn</t>
        </is>
      </c>
      <c r="F6" s="4" t="inlineStr">
        <is>
          <t>giamsat@congty.vn</t>
        </is>
      </c>
      <c r="G6" s="4"/>
      <c r="H6" s="4" t="inlineStr">
        <is>
          <t>YCNT — Cấp thoát nước T3</t>
        </is>
      </c>
    </row>
    <row r="7">
      <c r="B7" s="6">
        <v>3</v>
      </c>
      <c r="C7" s="4"/>
      <c r="D7" s="4" t="inlineStr">
        <is>
          <t>qlda@congty.vn</t>
        </is>
      </c>
      <c r="E7" s="4" t="inlineStr">
        <is>
          <t>ntp.nhom@congty.vn</t>
        </is>
      </c>
      <c r="F7" s="4" t="inlineStr">
        <is>
          <t>giamsat@congty.vn</t>
        </is>
      </c>
      <c r="G7" s="4"/>
      <c r="H7" s="4" t="inlineStr">
        <is>
          <t>YCNT — Vách kính</t>
        </is>
      </c>
    </row>
  </sheetData>
  <hyperlinks>
    <hyperlink ref="J1" location="'Mục lục'!A196" display="← Mục lục"/>
  </hyperlinks>
  <pageMargins left="0.7" right="0.7" top="0.75" bottom="0.75" header="0.3" footer="0.3"/>
</worksheet>
</file>

<file path=xl/worksheets/sheet158.xml><?xml version="1.0" encoding="utf-8"?>
<worksheet xmlns="http://schemas.openxmlformats.org/spreadsheetml/2006/main" xmlns:r="http://schemas.openxmlformats.org/officeDocument/2006/relationships">
  <dimension ref="A1:J12"/>
  <sheetViews>
    <sheetView workbookViewId="0">
      <selection activeCell="B8" sqref="B8"/>
    </sheetView>
  </sheetViews>
  <sheetFormatPr defaultRowHeight="15"/>
  <cols>
    <col min="1" max="1" width="2.00" customWidth="1"/>
    <col min="2" max="2" width="5.00" customWidth="1"/>
    <col min="3" max="3" width="10.00" customWidth="1"/>
    <col min="4" max="4" width="16.00" customWidth="1"/>
    <col min="5" max="5" width="19.00" customWidth="1"/>
    <col min="6" max="6" width="17.00" customWidth="1"/>
    <col min="7" max="7" width="6.00" customWidth="1"/>
    <col min="8" max="8" width="34.00" customWidth="1"/>
    <col min="10" max="10" width="12.00" customWidth="1"/>
  </cols>
  <sheetData>
    <row r="1">
      <c r="J1" s="105" t="inlineStr">
        <is>
          <t>← Mục lục</t>
        </is>
      </c>
    </row>
    <row r="2" hidden="1"/>
    <row r="3" hidden="1"/>
    <row r="4" hidden="1"/>
    <row r="5" hidden="1"/>
    <row r="6" hidden="1"/>
    <row r="7">
      <c r="B7" s="1" t="inlineStr">
        <is>
          <t>DANH MỤC GỬI EMAIL</t>
        </is>
      </c>
    </row>
    <row r="8">
      <c r="B8" s="87">
        <v>1</v>
      </c>
      <c r="C8" s="86"/>
      <c r="D8" s="86" t="inlineStr">
        <is>
          <t>qlda@congty.vn</t>
        </is>
      </c>
      <c r="E8" s="86" t="inlineStr">
        <is>
          <t>ntp.dien@congty.vn</t>
        </is>
      </c>
      <c r="F8" s="86" t="inlineStr">
        <is>
          <t>giamsat@congty.vn</t>
        </is>
      </c>
      <c r="G8" s="86"/>
      <c r="H8" s="86" t="inlineStr">
        <is>
          <t>YCNT — Điện tầng 3</t>
        </is>
      </c>
    </row>
    <row r="9">
      <c r="B9" s="3" t="inlineStr">
        <is>
          <t>No.</t>
        </is>
      </c>
      <c r="C9" s="3" t="inlineStr">
        <is>
          <t>Send Date</t>
        </is>
      </c>
      <c r="D9" s="3" t="inlineStr">
        <is>
          <t>Sender Email</t>
        </is>
      </c>
      <c r="E9" s="3" t="inlineStr">
        <is>
          <t>To</t>
        </is>
      </c>
      <c r="F9" s="3" t="inlineStr">
        <is>
          <t>Cc</t>
        </is>
      </c>
      <c r="G9" s="3" t="inlineStr">
        <is>
          <t>Bcc</t>
        </is>
      </c>
      <c r="H9" s="3" t="inlineStr">
        <is>
          <t>Subject</t>
        </is>
      </c>
    </row>
    <row r="10">
      <c r="B10" s="6">
        <v>1</v>
      </c>
      <c r="C10" s="4"/>
      <c r="D10" s="4" t="inlineStr">
        <is>
          <t>qlda@congty.vn</t>
        </is>
      </c>
      <c r="E10" s="4" t="inlineStr">
        <is>
          <t>ntp.dien@congty.vn</t>
        </is>
      </c>
      <c r="F10" s="4" t="inlineStr">
        <is>
          <t>giamsat@congty.vn</t>
        </is>
      </c>
      <c r="G10" s="4"/>
      <c r="H10" s="4" t="inlineStr">
        <is>
          <t>YCNT — Điện tầng 3</t>
        </is>
      </c>
    </row>
    <row r="11">
      <c r="B11" s="6">
        <v>2</v>
      </c>
      <c r="C11" s="4"/>
      <c r="D11" s="4" t="inlineStr">
        <is>
          <t>qlda@congty.vn</t>
        </is>
      </c>
      <c r="E11" s="4" t="inlineStr">
        <is>
          <t>ntp.nuoc@congty.vn</t>
        </is>
      </c>
      <c r="F11" s="4" t="inlineStr">
        <is>
          <t>giamsat@congty.vn</t>
        </is>
      </c>
      <c r="G11" s="4"/>
      <c r="H11" s="4" t="inlineStr">
        <is>
          <t>YCNT — Cấp thoát nước T3</t>
        </is>
      </c>
    </row>
    <row r="12">
      <c r="B12" s="6">
        <v>3</v>
      </c>
      <c r="C12" s="4"/>
      <c r="D12" s="4" t="inlineStr">
        <is>
          <t>qlda@congty.vn</t>
        </is>
      </c>
      <c r="E12" s="4" t="inlineStr">
        <is>
          <t>ntp.nhom@congty.vn</t>
        </is>
      </c>
      <c r="F12" s="4" t="inlineStr">
        <is>
          <t>giamsat@congty.vn</t>
        </is>
      </c>
      <c r="G12" s="4"/>
      <c r="H12" s="4" t="inlineStr">
        <is>
          <t>YCNT — Vách kính</t>
        </is>
      </c>
    </row>
  </sheetData>
  <hyperlinks>
    <hyperlink ref="J1" location="'Mục lục'!A198" display="← Mục lục"/>
  </hyperlinks>
  <pageMargins left="0.7" right="0.7" top="0.75" bottom="0.75" header="0.3" footer="0.3"/>
</worksheet>
</file>

<file path=xl/worksheets/sheet159.xml><?xml version="1.0" encoding="utf-8"?>
<worksheet xmlns="http://schemas.openxmlformats.org/spreadsheetml/2006/main" xmlns:r="http://schemas.openxmlformats.org/officeDocument/2006/relationships">
  <dimension ref="A1:H7"/>
  <sheetViews>
    <sheetView workbookViewId="0">
      <selection activeCell="A1" sqref="A1:F1"/>
    </sheetView>
  </sheetViews>
  <sheetFormatPr defaultRowHeight="15"/>
  <cols>
    <col min="1" max="1" width="9.00" customWidth="1"/>
    <col min="2" max="2" width="26.00" customWidth="1"/>
    <col min="3" max="3" width="13.00" customWidth="1"/>
    <col min="4" max="4" width="16.00" customWidth="1"/>
    <col min="5" max="5" width="17.00" customWidth="1"/>
    <col min="6" max="6" width="11.00" customWidth="1"/>
    <col min="8" max="8" width="12.00" customWidth="1"/>
  </cols>
  <sheetData>
    <row r="1">
      <c r="A1" s="84" t="inlineStr">
        <is>
          <t>SoBB</t>
        </is>
      </c>
      <c r="B1" s="84" t="inlineStr">
        <is>
          <t>TenHangMuc</t>
        </is>
      </c>
      <c r="C1" s="84" t="inlineStr">
        <is>
          <t>LyTrinh</t>
        </is>
      </c>
      <c r="D1" s="84" t="inlineStr">
        <is>
          <t>NgayNghiemThu</t>
        </is>
      </c>
      <c r="E1" s="84" t="inlineStr">
        <is>
          <t>NhaThau</t>
        </is>
      </c>
      <c r="F1" s="84" t="inlineStr">
        <is>
          <t>KetLuan</t>
        </is>
      </c>
      <c r="H1" s="105" t="inlineStr">
        <is>
          <t>← Mục lục</t>
        </is>
      </c>
    </row>
    <row r="2">
      <c r="A2" s="4" t="inlineStr">
        <is>
          <t>BB-01</t>
        </is>
      </c>
      <c r="B2" s="4" t="inlineStr">
        <is>
          <t>Cống thoát nước D600</t>
        </is>
      </c>
      <c r="C2" s="4" t="inlineStr">
        <is>
          <t>Km0+000–050</t>
        </is>
      </c>
      <c r="D2" s="55">
        <v>46300</v>
      </c>
      <c r="E2" s="4" t="inlineStr">
        <is>
          <t>Đội hạ tầng số 1</t>
        </is>
      </c>
      <c r="F2" s="4" t="inlineStr">
        <is>
          <t>Đạt</t>
        </is>
      </c>
    </row>
    <row r="3">
      <c r="A3" s="4" t="inlineStr">
        <is>
          <t>BB-02</t>
        </is>
      </c>
      <c r="B3" s="4" t="inlineStr">
        <is>
          <t>Cống thoát nước D600</t>
        </is>
      </c>
      <c r="C3" s="4" t="inlineStr">
        <is>
          <t>Km0+050–100</t>
        </is>
      </c>
      <c r="D3" s="55">
        <v>46300</v>
      </c>
      <c r="E3" s="4" t="inlineStr">
        <is>
          <t>Đội hạ tầng số 1</t>
        </is>
      </c>
      <c r="F3" s="4" t="inlineStr">
        <is>
          <t>Đạt</t>
        </is>
      </c>
    </row>
    <row r="4">
      <c r="A4" s="4" t="inlineStr">
        <is>
          <t>BB-03</t>
        </is>
      </c>
      <c r="B4" s="4" t="inlineStr">
        <is>
          <t>Cống thoát nước D800</t>
        </is>
      </c>
      <c r="C4" s="4" t="inlineStr">
        <is>
          <t>Km0+100–150</t>
        </is>
      </c>
      <c r="D4" s="55">
        <v>46301</v>
      </c>
      <c r="E4" s="4" t="inlineStr">
        <is>
          <t>Đội hạ tầng số 2</t>
        </is>
      </c>
      <c r="F4" s="4" t="inlineStr">
        <is>
          <t>Đạt</t>
        </is>
      </c>
    </row>
    <row r="5">
      <c r="A5" s="4" t="inlineStr">
        <is>
          <t>BB-04</t>
        </is>
      </c>
      <c r="B5" s="4" t="inlineStr">
        <is>
          <t>Hố ga HG-04</t>
        </is>
      </c>
      <c r="C5" s="4" t="inlineStr">
        <is>
          <t>Km0+150</t>
        </is>
      </c>
      <c r="D5" s="55">
        <v>46302</v>
      </c>
      <c r="E5" s="4" t="inlineStr">
        <is>
          <t>Đội hạ tầng số 2</t>
        </is>
      </c>
      <c r="F5" s="4" t="inlineStr">
        <is>
          <t>Đạt</t>
        </is>
      </c>
    </row>
    <row r="6">
      <c r="A6" s="4" t="inlineStr">
        <is>
          <t>BB-05</t>
        </is>
      </c>
      <c r="B6" s="4" t="inlineStr">
        <is>
          <t>Cống thoát nước D800</t>
        </is>
      </c>
      <c r="C6" s="4" t="inlineStr">
        <is>
          <t>Km0+150–200</t>
        </is>
      </c>
      <c r="D6" s="55">
        <v>46303</v>
      </c>
      <c r="E6" s="4" t="inlineStr">
        <is>
          <t>Đội hạ tầng số 1</t>
        </is>
      </c>
      <c r="F6" s="4" t="inlineStr">
        <is>
          <t>Đạt</t>
        </is>
      </c>
    </row>
    <row r="7">
      <c r="A7" s="4" t="inlineStr">
        <is>
          <t>BB-06</t>
        </is>
      </c>
      <c r="B7" s="4" t="inlineStr">
        <is>
          <t>Hố ga HG-05</t>
        </is>
      </c>
      <c r="C7" s="4" t="inlineStr">
        <is>
          <t>Km0+200</t>
        </is>
      </c>
      <c r="D7" s="55">
        <v>46303</v>
      </c>
      <c r="E7" s="4" t="inlineStr">
        <is>
          <t>Đội hạ tầng số 2</t>
        </is>
      </c>
      <c r="F7" s="4" t="inlineStr">
        <is>
          <t>Đạt</t>
        </is>
      </c>
    </row>
  </sheetData>
  <hyperlinks>
    <hyperlink ref="H1" location="'Mục lục'!A199" display="← Mục lục"/>
  </hyperlinks>
  <pageMargins left="0.7" right="0.7" top="0.75" bottom="0.75" header="0.3" footer="0.3"/>
</worksheet>
</file>

<file path=xl/worksheets/sheet160.xml><?xml version="1.0" encoding="utf-8"?>
<worksheet xmlns="http://schemas.openxmlformats.org/spreadsheetml/2006/main" xmlns:r="http://schemas.openxmlformats.org/officeDocument/2006/relationships">
  <dimension ref="A1:H6"/>
  <sheetViews>
    <sheetView workbookViewId="0">
      <selection activeCell="A3" sqref="A3:F3"/>
    </sheetView>
  </sheetViews>
  <sheetFormatPr defaultRowHeight="15"/>
  <cols>
    <col min="1" max="1" width="10.00" customWidth="1"/>
    <col min="2" max="2" width="14.00" customWidth="1"/>
    <col min="3" max="3" width="28.00" customWidth="1"/>
    <col min="4" max="4" width="15.00" customWidth="1"/>
    <col min="5" max="5" width="15.00" customWidth="1"/>
    <col min="6" max="6" width="15.00" customWidth="1"/>
    <col min="8" max="8" width="12.00" customWidth="1"/>
  </cols>
  <sheetData>
    <row r="1">
      <c r="A1" s="1" t="inlineStr">
        <is>
          <t>SỔ THEO DÕI PHIẾU YÊU CẦU NGHIỆM THU — NHÀ VĂN PHÒNG 9 TẦNG</t>
        </is>
      </c>
      <c r="H1" s="105" t="inlineStr">
        <is>
          <t>← Mục lục</t>
        </is>
      </c>
    </row>
    <row r="3">
      <c r="A3" s="84" t="inlineStr">
        <is>
          <t>Số phiếu</t>
        </is>
      </c>
      <c r="B3" s="84" t="inlineStr">
        <is>
          <t>Hạng mục</t>
        </is>
      </c>
      <c r="C3" s="84" t="inlineStr">
        <is>
          <t>Công việc nghiệm thu</t>
        </is>
      </c>
      <c r="D3" s="84" t="inlineStr">
        <is>
          <t>Ngày nghiệm thu</t>
        </is>
      </c>
      <c r="E3" s="84" t="inlineStr">
        <is>
          <t>Vị trí</t>
        </is>
      </c>
      <c r="F3" s="84" t="inlineStr">
        <is>
          <t>Nhà thầu</t>
        </is>
      </c>
    </row>
    <row r="4">
      <c r="A4" s="4" t="inlineStr">
        <is>
          <t>YC-031</t>
        </is>
      </c>
      <c r="B4" s="4" t="inlineStr">
        <is>
          <t>Kết cấu</t>
        </is>
      </c>
      <c r="C4" s="4" t="inlineStr">
        <is>
          <t>Cốt thép cột tầng 3</t>
        </is>
      </c>
      <c r="D4" s="55">
        <v>46300</v>
      </c>
      <c r="E4" s="4" t="inlineStr">
        <is>
          <t>Trục 1–5</t>
        </is>
      </c>
      <c r="F4" s="4" t="inlineStr">
        <is>
          <t>Đội thép số 2</t>
        </is>
      </c>
    </row>
    <row r="5">
      <c r="A5" s="4" t="inlineStr">
        <is>
          <t>YC-032</t>
        </is>
      </c>
      <c r="B5" s="4" t="inlineStr">
        <is>
          <t>Kết cấu</t>
        </is>
      </c>
      <c r="C5" s="4" t="inlineStr">
        <is>
          <t>Ván khuôn dầm sàn tầng 3</t>
        </is>
      </c>
      <c r="D5" s="55">
        <v>46302</v>
      </c>
      <c r="E5" s="4" t="inlineStr">
        <is>
          <t>Trục A–D</t>
        </is>
      </c>
      <c r="F5" s="4" t="inlineStr">
        <is>
          <t>Đội cốp pha số 1</t>
        </is>
      </c>
    </row>
    <row r="6">
      <c r="A6" s="4" t="inlineStr">
        <is>
          <t>YC-033</t>
        </is>
      </c>
      <c r="B6" s="4" t="inlineStr">
        <is>
          <t>MEP</t>
        </is>
      </c>
      <c r="C6" s="4" t="inlineStr">
        <is>
          <t>Ống điện âm sàn tầng 3</t>
        </is>
      </c>
      <c r="D6" s="55">
        <v>46303</v>
      </c>
      <c r="E6" s="4" t="inlineStr">
        <is>
          <t>Toàn sàn</t>
        </is>
      </c>
      <c r="F6" s="4" t="inlineStr">
        <is>
          <t>NTP điện</t>
        </is>
      </c>
    </row>
  </sheetData>
  <hyperlinks>
    <hyperlink ref="H1" location="'Mục lục'!A200" display="← Mục lục"/>
  </hyperlinks>
  <pageMargins left="0.7" right="0.7" top="0.75" bottom="0.75" header="0.3" footer="0.3"/>
</worksheet>
</file>

<file path=xl/worksheets/sheet161.xml><?xml version="1.0" encoding="utf-8"?>
<worksheet xmlns="http://schemas.openxmlformats.org/spreadsheetml/2006/main" xmlns:r="http://schemas.openxmlformats.org/officeDocument/2006/relationships">
  <dimension ref="A1:H11"/>
  <sheetViews>
    <sheetView workbookViewId="0">
      <selection activeCell="F8" sqref="F8"/>
    </sheetView>
  </sheetViews>
  <sheetFormatPr defaultRowHeight="15"/>
  <cols>
    <col min="1" max="1" width="5.00" customWidth="1"/>
    <col min="2" max="2" width="32.00" customWidth="1"/>
    <col min="3" max="3" width="6.00" customWidth="1"/>
    <col min="4" max="4" width="10.00" customWidth="1"/>
    <col min="5" max="5" width="12.00" customWidth="1"/>
    <col min="6" max="6" width="14.00" customWidth="1"/>
    <col min="8" max="8" width="12.00" customWidth="1"/>
  </cols>
  <sheetData>
    <row r="1">
      <c r="A1" s="1" t="inlineStr">
        <is>
          <t>BẢNG TIÊN LƯỢNG PHẦN THÂN — NHÀ VĂN PHÒNG 9 TẦNG</t>
        </is>
      </c>
      <c r="F1" s="88"/>
      <c r="H1" s="105" t="inlineStr">
        <is>
          <t>← Mục lục</t>
        </is>
      </c>
    </row>
    <row r="2">
      <c r="F2" s="88"/>
    </row>
    <row r="3">
      <c r="A3" s="3" t="inlineStr">
        <is>
          <t>TT</t>
        </is>
      </c>
      <c r="B3" s="3" t="inlineStr">
        <is>
          <t>Tên công tác</t>
        </is>
      </c>
      <c r="C3" s="3" t="inlineStr">
        <is>
          <t>ĐVT</t>
        </is>
      </c>
      <c r="D3" s="3" t="inlineStr">
        <is>
          <t>Khối lượng</t>
        </is>
      </c>
      <c r="E3" s="3" t="inlineStr">
        <is>
          <t>Đơn giá</t>
        </is>
      </c>
      <c r="F3" s="89" t="inlineStr">
        <is>
          <t>Thành tiền</t>
        </is>
      </c>
    </row>
    <row r="4" ht="21.00" customHeight="1">
      <c r="A4" s="6">
        <v>1</v>
      </c>
      <c r="B4" s="4" t="inlineStr">
        <is>
          <t>Bê tông cột B30, đá 1x2</t>
        </is>
      </c>
      <c r="C4" s="6" t="inlineStr">
        <is>
          <t>m³</t>
        </is>
      </c>
      <c r="D4" s="32">
        <v>48.6</v>
      </c>
      <c r="E4" s="33">
        <v>1912000</v>
      </c>
      <c r="F4" s="90">
        <f>D4*E4</f>
        <v>92923200.0</v>
      </c>
    </row>
    <row r="5" ht="21.00" customHeight="1">
      <c r="A5" s="6">
        <v>2</v>
      </c>
      <c r="B5" s="4" t="inlineStr">
        <is>
          <t>Bê tông dầm B30</t>
        </is>
      </c>
      <c r="C5" s="6" t="inlineStr">
        <is>
          <t>m³</t>
        </is>
      </c>
      <c r="D5" s="32">
        <v>86.2</v>
      </c>
      <c r="E5" s="33">
        <v>1865000</v>
      </c>
      <c r="F5" s="90">
        <f>D5*E5</f>
        <v>160763000.0</v>
      </c>
    </row>
    <row r="6" ht="21.00" customHeight="1">
      <c r="A6" s="6">
        <v>3</v>
      </c>
      <c r="B6" s="4" t="inlineStr">
        <is>
          <t>Bê tông sàn B30</t>
        </is>
      </c>
      <c r="C6" s="6" t="inlineStr">
        <is>
          <t>m³</t>
        </is>
      </c>
      <c r="D6" s="32">
        <v>142.5</v>
      </c>
      <c r="E6" s="33">
        <v>1840000</v>
      </c>
      <c r="F6" s="90">
        <f>D6*E6</f>
        <v>262200000.0</v>
      </c>
    </row>
    <row r="7" ht="21.00" customHeight="1">
      <c r="A7" s="6">
        <v>4</v>
      </c>
      <c r="B7" s="4" t="inlineStr">
        <is>
          <t>Cốt thép cột CB400-V, D ≤ 18</t>
        </is>
      </c>
      <c r="C7" s="6" t="inlineStr">
        <is>
          <t>tấn</t>
        </is>
      </c>
      <c r="D7" s="11">
        <v>9.84</v>
      </c>
      <c r="E7" s="33">
        <v>22150000</v>
      </c>
      <c r="F7" s="90">
        <f>D7*E7</f>
        <v>217956000.0</v>
      </c>
    </row>
    <row r="8" ht="21.00" customHeight="1">
      <c r="A8" s="91">
        <v>5</v>
      </c>
      <c r="B8" s="92" t="inlineStr">
        <is>
          <t>Cốt thép dầm CB400-V, D ≤ 18</t>
        </is>
      </c>
      <c r="C8" s="91" t="inlineStr">
        <is>
          <t>tấn</t>
        </is>
      </c>
      <c r="D8" s="93">
        <v>14.26</v>
      </c>
      <c r="E8" s="90">
        <v>21980000</v>
      </c>
      <c r="F8" s="33">
        <f>D8*E8</f>
        <v>313434800.0</v>
      </c>
    </row>
    <row r="9" ht="21.00" customHeight="1">
      <c r="A9" s="6">
        <v>6</v>
      </c>
      <c r="B9" s="4" t="inlineStr">
        <is>
          <t>Ván khuôn cột</t>
        </is>
      </c>
      <c r="C9" s="6" t="inlineStr">
        <is>
          <t>m²</t>
        </is>
      </c>
      <c r="D9" s="32">
        <v>412</v>
      </c>
      <c r="E9" s="33">
        <v>186500</v>
      </c>
      <c r="F9" s="90">
        <f>D9*E9</f>
        <v>76838000.0</v>
      </c>
    </row>
    <row r="10" ht="21.00" customHeight="1">
      <c r="A10" s="6">
        <v>7</v>
      </c>
      <c r="B10" s="4" t="inlineStr">
        <is>
          <t>Ván khuôn dầm, sàn</t>
        </is>
      </c>
      <c r="C10" s="6" t="inlineStr">
        <is>
          <t>m²</t>
        </is>
      </c>
      <c r="D10" s="32">
        <v>1286</v>
      </c>
      <c r="E10" s="33">
        <v>172000</v>
      </c>
      <c r="F10" s="90">
        <f>D10*E10</f>
        <v>221192000.0</v>
      </c>
    </row>
    <row r="11">
      <c r="F11" s="88"/>
    </row>
  </sheetData>
  <hyperlinks>
    <hyperlink ref="H1" location="'Mục lục'!A201" display="← Mục lục"/>
  </hyperlinks>
  <pageMargins left="0.7" right="0.7" top="0.75" bottom="0.75" header="0.3" footer="0.3"/>
</worksheet>
</file>

<file path=xl/worksheets/sheet162.xml><?xml version="1.0" encoding="utf-8"?>
<worksheet xmlns="http://schemas.openxmlformats.org/spreadsheetml/2006/main" xmlns:r="http://schemas.openxmlformats.org/officeDocument/2006/relationships">
  <dimension ref="A1:F6"/>
  <sheetViews>
    <sheetView workbookViewId="0">
      <selection activeCell="A1" sqref="A1"/>
    </sheetView>
  </sheetViews>
  <sheetFormatPr defaultRowHeight="15"/>
  <cols>
    <col min="1" max="1" width="8.00" customWidth="1"/>
    <col min="2" max="2" width="34.00" customWidth="1"/>
    <col min="3" max="3" width="8.00" customWidth="1"/>
    <col min="4" max="4" width="16.00" customWidth="1"/>
    <col min="6" max="6" width="12.00" customWidth="1"/>
  </cols>
  <sheetData>
    <row r="1">
      <c r="B1" s="1" t="inlineStr">
        <is>
          <t>TỔNG HỢP GIÁ TRỊ THANH TOÁN GIAI ĐOẠN 2</t>
        </is>
      </c>
      <c r="F1" s="105" t="inlineStr">
        <is>
          <t>← Mục lục</t>
        </is>
      </c>
    </row>
    <row r="3">
      <c r="A3" s="3" t="inlineStr">
        <is>
          <t>TT</t>
        </is>
      </c>
      <c r="B3" s="3" t="inlineStr">
        <is>
          <t>Hạng mục</t>
        </is>
      </c>
      <c r="C3" s="3" t="inlineStr">
        <is>
          <t>ĐVT</t>
        </is>
      </c>
      <c r="D3" s="3" t="inlineStr">
        <is>
          <t>Giá trị</t>
        </is>
      </c>
    </row>
    <row r="4">
      <c r="A4" s="6">
        <v>1</v>
      </c>
      <c r="B4" s="4" t="inlineStr">
        <is>
          <t>Phần móng</t>
        </is>
      </c>
      <c r="C4" s="6" t="inlineStr">
        <is>
          <t>đồng</t>
        </is>
      </c>
      <c r="D4" s="33">
        <v>4856200000</v>
      </c>
    </row>
    <row r="5">
      <c r="A5" s="6">
        <v>2</v>
      </c>
      <c r="B5" s="4" t="inlineStr">
        <is>
          <t>Phần thân</t>
        </is>
      </c>
      <c r="C5" s="6" t="inlineStr">
        <is>
          <t>đồng</t>
        </is>
      </c>
      <c r="D5" s="33">
        <v>7312450000</v>
      </c>
    </row>
    <row r="6">
      <c r="A6" s="6">
        <v>3</v>
      </c>
      <c r="B6" s="4" t="inlineStr">
        <is>
          <t>Phần hoàn thiện</t>
        </is>
      </c>
      <c r="C6" s="6" t="inlineStr">
        <is>
          <t>đồng</t>
        </is>
      </c>
      <c r="D6" s="33">
        <v>2104800000</v>
      </c>
    </row>
  </sheetData>
  <hyperlinks>
    <hyperlink ref="F1" location="'Mục lục'!A202" display="← Mục lục"/>
  </hyperlinks>
  <pageMargins left="0.7" right="0.7" top="0.75" bottom="0.75" header="0.3" footer="0.3"/>
</worksheet>
</file>

<file path=xl/worksheets/sheet163.xml><?xml version="1.0" encoding="utf-8"?>
<worksheet xmlns="http://schemas.openxmlformats.org/spreadsheetml/2006/main" xmlns:r="http://schemas.openxmlformats.org/officeDocument/2006/relationships">
  <dimension ref="A1:F5"/>
  <sheetViews>
    <sheetView workbookViewId="0"/>
  </sheetViews>
  <sheetFormatPr defaultRowHeight="15"/>
  <cols>
    <col min="1" max="1" width="3.00" customWidth="1"/>
    <col min="2" max="2" width="20.00" customWidth="1"/>
    <col min="3" max="3" width="24.00" customWidth="1"/>
    <col min="4" max="4" width="8.00" customWidth="1"/>
    <col min="6" max="6" width="12.00" customWidth="1"/>
  </cols>
  <sheetData>
    <row r="1">
      <c r="B1" s="3" t="inlineStr">
        <is>
          <t>Tên sheet cũ</t>
        </is>
      </c>
      <c r="C1" s="3" t="inlineStr">
        <is>
          <t>Tên sheet mới</t>
        </is>
      </c>
      <c r="F1" s="105" t="inlineStr">
        <is>
          <t>← Mục lục</t>
        </is>
      </c>
    </row>
    <row r="2">
      <c r="B2" s="4" t="inlineStr">
        <is>
          <t>Sheet1</t>
        </is>
      </c>
      <c r="C2" s="4" t="inlineStr">
        <is>
          <t>01-TH-Khoiluong</t>
        </is>
      </c>
    </row>
    <row r="3">
      <c r="B3" s="4" t="inlineStr">
        <is>
          <t>Sheet2</t>
        </is>
      </c>
      <c r="C3" s="4" t="inlineStr">
        <is>
          <t>02-KL-Mongcoc</t>
        </is>
      </c>
    </row>
    <row r="4">
      <c r="B4" s="4" t="inlineStr">
        <is>
          <t>Sheet3</t>
        </is>
      </c>
      <c r="C4" s="4" t="inlineStr">
        <is>
          <t>03-KL-Dammong</t>
        </is>
      </c>
    </row>
    <row r="5">
      <c r="B5" s="4" t="inlineStr">
        <is>
          <t>KL than</t>
        </is>
      </c>
      <c r="C5" s="4" t="inlineStr">
        <is>
          <t>04-KL-Than</t>
        </is>
      </c>
    </row>
  </sheetData>
  <hyperlinks>
    <hyperlink ref="F1" location="'Mục lục'!A203" display="← Mục lục"/>
  </hyperlinks>
  <pageMargins left="0.7" right="0.7" top="0.75" bottom="0.75" header="0.3" footer="0.3"/>
</worksheet>
</file>

<file path=xl/worksheets/sheet164.xml><?xml version="1.0" encoding="utf-8"?>
<worksheet xmlns="http://schemas.openxmlformats.org/spreadsheetml/2006/main" xmlns:r="http://schemas.openxmlformats.org/officeDocument/2006/relationships">
  <dimension ref="A1:D7"/>
  <sheetViews>
    <sheetView workbookViewId="0">
      <selection activeCell="A1" sqref="A1"/>
    </sheetView>
  </sheetViews>
  <sheetFormatPr defaultRowHeight="15"/>
  <cols>
    <col min="1" max="1" width="62.00" customWidth="1"/>
    <col min="2" max="2" width="8.00" customWidth="1"/>
    <col min="4" max="4" width="12.00" customWidth="1"/>
  </cols>
  <sheetData>
    <row r="1">
      <c r="A1" s="1" t="inlineStr">
        <is>
          <t>THUYẾT MINH DỰ TOÁN</t>
        </is>
      </c>
      <c r="D1" s="105" t="inlineStr">
        <is>
          <t>← Mục lục</t>
        </is>
      </c>
    </row>
    <row r="2">
      <c r="A2" s="18" t="inlineStr">
        <is>
          <t>Công trình: Nhà văn phòng 9 tầng</t>
        </is>
      </c>
    </row>
    <row r="3">
      <c r="A3" s="18" t="inlineStr">
        <is>
          <t>Hạng mục: Phần móng và phần thân</t>
        </is>
      </c>
    </row>
    <row r="5">
      <c r="A5" s="1" t="inlineStr">
        <is>
          <t>1. Căn cứ lập dự toán</t>
        </is>
      </c>
    </row>
    <row r="6">
      <c r="A6" s="18" t="inlineStr">
        <is>
          <t>- Hồ sơ thiết kế bản vẽ thi công đã được phê duyệt</t>
        </is>
      </c>
    </row>
    <row r="7">
      <c r="A7" s="18" t="inlineStr">
        <is>
          <t>- Giá vật liệu công bố tháng 9/2026</t>
        </is>
      </c>
    </row>
  </sheetData>
  <hyperlinks>
    <hyperlink ref="D1" location="'Mục lục'!A204" display="← Mục lục"/>
  </hyperlinks>
  <pageMargins left="0.7" right="0.7" top="0.75" bottom="0.75" header="0.3" footer="0.3"/>
</worksheet>
</file>

<file path=xl/worksheets/sheet165.xml><?xml version="1.0" encoding="utf-8"?>
<worksheet xmlns="http://schemas.openxmlformats.org/spreadsheetml/2006/main" xmlns:r="http://schemas.openxmlformats.org/officeDocument/2006/relationships">
  <dimension ref="A1:I6"/>
  <sheetViews>
    <sheetView workbookViewId="0">
      <selection activeCell="D4" sqref="D4"/>
    </sheetView>
  </sheetViews>
  <sheetFormatPr defaultRowHeight="15"/>
  <cols>
    <col min="1" max="1" width="6.00" customWidth="1"/>
    <col min="2" max="2" width="34.00" customWidth="1"/>
    <col min="3" max="3" width="8.00" customWidth="1"/>
    <col min="4" max="4" width="14.00" customWidth="1"/>
    <col min="5" max="5" width="8.00" customWidth="1"/>
    <col min="6" max="6" width="8.00" customWidth="1"/>
    <col min="7" max="7" width="8.00" customWidth="1"/>
    <col min="9" max="9" width="12.00" customWidth="1"/>
  </cols>
  <sheetData>
    <row r="1">
      <c r="B1" s="1" t="inlineStr">
        <is>
          <t>TỔNG HỢP KHỐI LƯỢNG PHẦN THÔ</t>
        </is>
      </c>
      <c r="I1" s="105" t="inlineStr">
        <is>
          <t>← Mục lục</t>
        </is>
      </c>
    </row>
    <row r="3">
      <c r="A3" s="3" t="inlineStr">
        <is>
          <t>TT</t>
        </is>
      </c>
      <c r="B3" s="3" t="inlineStr">
        <is>
          <t>Hạng mục</t>
        </is>
      </c>
      <c r="C3" s="3" t="inlineStr">
        <is>
          <t>ĐVT</t>
        </is>
      </c>
      <c r="D3" s="3" t="inlineStr">
        <is>
          <t>Khối lượng</t>
        </is>
      </c>
    </row>
    <row r="4">
      <c r="A4" s="6">
        <v>1</v>
      </c>
      <c r="B4" s="4" t="inlineStr">
        <is>
          <t>Bê tông đài móng, giằng móng B25</t>
        </is>
      </c>
      <c r="C4" s="6" t="inlineStr">
        <is>
          <t>m³</t>
        </is>
      </c>
      <c r="D4" s="32">
        <f>'Khối lượng móng'!$F$120</f>
        <v>412.6</v>
      </c>
    </row>
    <row r="5">
      <c r="A5" s="6">
        <v>2</v>
      </c>
      <c r="B5" s="4" t="inlineStr">
        <is>
          <t>Cốt thép móng CB400-V</t>
        </is>
      </c>
      <c r="C5" s="6" t="inlineStr">
        <is>
          <t>tấn</t>
        </is>
      </c>
      <c r="D5" s="32">
        <v>38.4</v>
      </c>
    </row>
    <row r="6">
      <c r="A6" s="6">
        <v>3</v>
      </c>
      <c r="B6" s="4" t="inlineStr">
        <is>
          <t>Bê tông cột, dầm, sàn B30</t>
        </is>
      </c>
      <c r="C6" s="6" t="inlineStr">
        <is>
          <t>m³</t>
        </is>
      </c>
      <c r="D6" s="32">
        <v>1286</v>
      </c>
    </row>
  </sheetData>
  <hyperlinks>
    <hyperlink ref="I1" location="'Mục lục'!A205" display="← Mục lục"/>
  </hyperlinks>
  <pageMargins left="0.7" right="0.7" top="0.75" bottom="0.75" header="0.3" footer="0.3"/>
</worksheet>
</file>

<file path=xl/worksheets/sheet166.xml><?xml version="1.0" encoding="utf-8"?>
<worksheet xmlns="http://schemas.openxmlformats.org/spreadsheetml/2006/main" xmlns:r="http://schemas.openxmlformats.org/officeDocument/2006/relationships">
  <dimension ref="A1:H120"/>
  <sheetViews>
    <sheetView workbookViewId="0"/>
  </sheetViews>
  <sheetFormatPr defaultRowHeight="15"/>
  <cols>
    <col min="5" max="5" width="10.00" customWidth="1"/>
    <col min="6" max="6" width="12.00" customWidth="1"/>
    <col min="8" max="8" width="12.00" customWidth="1"/>
  </cols>
  <sheetData>
    <row r="1">
      <c r="A1" s="1" t="inlineStr">
        <is>
          <t>KHỐI LƯỢNG MÓNG</t>
        </is>
      </c>
      <c r="H1" s="105" t="inlineStr">
        <is>
          <t>← Mục lục</t>
        </is>
      </c>
    </row>
    <row r="120">
      <c r="E120" s="1" t="inlineStr">
        <is>
          <t>Cộng</t>
        </is>
      </c>
      <c r="F120" s="94">
        <v>412.6</v>
      </c>
    </row>
  </sheetData>
  <hyperlinks>
    <hyperlink ref="H1" location="'Mục lục'!A205" display="← Mục lục"/>
  </hyperlinks>
  <pageMargins left="0.7" right="0.7" top="0.75" bottom="0.75" header="0.3" footer="0.3"/>
</worksheet>
</file>

<file path=xl/worksheets/sheet167.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ĐÀI MÓNG - CỌC</t>
        </is>
      </c>
      <c r="C1" s="105" t="inlineStr">
        <is>
          <t>← Mục lục</t>
        </is>
      </c>
    </row>
  </sheetData>
  <hyperlinks>
    <hyperlink ref="C1" location="'Mục lục'!A205" display="← Mục lục"/>
  </hyperlinks>
  <pageMargins left="0.7" right="0.7" top="0.75" bottom="0.75" header="0.3" footer="0.3"/>
</worksheet>
</file>

<file path=xl/worksheets/sheet168.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NGHIỆM THU CỐT THÉP</t>
        </is>
      </c>
      <c r="C1" s="105" t="inlineStr">
        <is>
          <t>← Mục lục</t>
        </is>
      </c>
    </row>
  </sheetData>
  <hyperlinks>
    <hyperlink ref="C1" location="'Mục lục'!A205" display="← Mục lục"/>
  </hyperlinks>
  <pageMargins left="0.7" right="0.7" top="0.75" bottom="0.75" header="0.3" footer="0.3"/>
</worksheet>
</file>

<file path=xl/worksheets/sheet169.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PHỤ LỤC 01</t>
        </is>
      </c>
      <c r="C1" s="105" t="inlineStr">
        <is>
          <t>← Mục lục</t>
        </is>
      </c>
    </row>
  </sheetData>
  <hyperlinks>
    <hyperlink ref="C1" location="'Mục lục'!A205" display="← Mục lục"/>
  </hyperlinks>
  <pageMargins left="0.7" right="0.7" top="0.75" bottom="0.75" header="0.3" footer="0.3"/>
</worksheet>
</file>

<file path=xl/worksheets/sheet170.xml><?xml version="1.0" encoding="utf-8"?>
<worksheet xmlns="http://schemas.openxmlformats.org/spreadsheetml/2006/main" xmlns:r="http://schemas.openxmlformats.org/officeDocument/2006/relationships">
  <dimension ref="A1:H6"/>
  <sheetViews>
    <sheetView workbookViewId="0">
      <selection activeCell="C4" sqref="C4"/>
    </sheetView>
  </sheetViews>
  <sheetFormatPr defaultRowHeight="15"/>
  <cols>
    <col min="1" max="1" width="6.00" customWidth="1"/>
    <col min="2" max="2" width="36.00" customWidth="1"/>
    <col min="3" max="3" width="18.00" customWidth="1"/>
    <col min="4" max="4" width="8.00" customWidth="1"/>
    <col min="5" max="5" width="8.00" customWidth="1"/>
    <col min="6" max="6" width="8.00" customWidth="1"/>
    <col min="8" max="8" width="12.00" customWidth="1"/>
  </cols>
  <sheetData>
    <row r="1">
      <c r="B1" s="1" t="inlineStr">
        <is>
          <t>TỔNG HỢP DỰ TOÁN GÓI THẦU XL-02</t>
        </is>
      </c>
      <c r="H1" s="105" t="inlineStr">
        <is>
          <t>← Mục lục</t>
        </is>
      </c>
    </row>
    <row r="3">
      <c r="A3" s="3" t="inlineStr">
        <is>
          <t>TT</t>
        </is>
      </c>
      <c r="B3" s="3" t="inlineStr">
        <is>
          <t>Khoản mục chi phí</t>
        </is>
      </c>
      <c r="C3" s="3" t="inlineStr">
        <is>
          <t>Giá trị (đồng)</t>
        </is>
      </c>
    </row>
    <row r="4">
      <c r="A4" s="6">
        <v>1</v>
      </c>
      <c r="B4" s="4" t="inlineStr">
        <is>
          <t>Chi phí xây dựng</t>
        </is>
      </c>
      <c r="C4" s="33">
        <f>'KL-Mong'!$H$54+'KL-Than'!$H$86</f>
        <v>18426500000.0</v>
      </c>
    </row>
    <row r="5">
      <c r="A5" s="6">
        <v>2</v>
      </c>
      <c r="B5" s="4" t="inlineStr">
        <is>
          <t>Chi phí thiết bị</t>
        </is>
      </c>
      <c r="C5" s="33">
        <v>2315000000</v>
      </c>
    </row>
    <row r="6">
      <c r="A6" s="6">
        <v>3</v>
      </c>
      <c r="B6" s="4" t="inlineStr">
        <is>
          <t>Chi phí dự phòng</t>
        </is>
      </c>
      <c r="C6" s="33">
        <v>1037075000</v>
      </c>
    </row>
  </sheetData>
  <hyperlinks>
    <hyperlink ref="H1" location="'Mục lục'!A206" display="← Mục lục"/>
  </hyperlinks>
  <pageMargins left="0.7" right="0.7" top="0.75" bottom="0.75" header="0.3" footer="0.3"/>
</worksheet>
</file>

<file path=xl/worksheets/sheet171.xml><?xml version="1.0" encoding="utf-8"?>
<worksheet xmlns="http://schemas.openxmlformats.org/spreadsheetml/2006/main" xmlns:r="http://schemas.openxmlformats.org/officeDocument/2006/relationships">
  <dimension ref="A1:J54"/>
  <sheetViews>
    <sheetView workbookViewId="0"/>
  </sheetViews>
  <sheetFormatPr defaultRowHeight="15"/>
  <cols>
    <col min="7" max="7" width="10.00" customWidth="1"/>
    <col min="8" max="8" width="16.00" customWidth="1"/>
    <col min="10" max="10" width="12.00" customWidth="1"/>
  </cols>
  <sheetData>
    <row r="1">
      <c r="A1" s="1" t="inlineStr">
        <is>
          <t>KHỐI LƯỢNG PHẦN MÓNG</t>
        </is>
      </c>
      <c r="J1" s="105" t="inlineStr">
        <is>
          <t>← Mục lục</t>
        </is>
      </c>
    </row>
    <row r="54">
      <c r="G54" s="1" t="inlineStr">
        <is>
          <t>Cộng</t>
        </is>
      </c>
      <c r="H54" s="95">
        <v>6218300000</v>
      </c>
    </row>
  </sheetData>
  <hyperlinks>
    <hyperlink ref="J1" location="'Mục lục'!A206" display="← Mục lục"/>
  </hyperlinks>
  <pageMargins left="0.7" right="0.7" top="0.75" bottom="0.75" header="0.3" footer="0.3"/>
</worksheet>
</file>

<file path=xl/worksheets/sheet172.xml><?xml version="1.0" encoding="utf-8"?>
<worksheet xmlns="http://schemas.openxmlformats.org/spreadsheetml/2006/main" xmlns:r="http://schemas.openxmlformats.org/officeDocument/2006/relationships">
  <dimension ref="A1:J86"/>
  <sheetViews>
    <sheetView workbookViewId="0"/>
  </sheetViews>
  <sheetFormatPr defaultRowHeight="15"/>
  <cols>
    <col min="7" max="7" width="10.00" customWidth="1"/>
    <col min="8" max="8" width="16.00" customWidth="1"/>
    <col min="10" max="10" width="12.00" customWidth="1"/>
  </cols>
  <sheetData>
    <row r="1">
      <c r="A1" s="1" t="inlineStr">
        <is>
          <t>KHỐI LƯỢNG PHẦN THÂN</t>
        </is>
      </c>
      <c r="J1" s="105" t="inlineStr">
        <is>
          <t>← Mục lục</t>
        </is>
      </c>
    </row>
    <row r="86">
      <c r="G86" s="1" t="inlineStr">
        <is>
          <t>Cộng</t>
        </is>
      </c>
      <c r="H86" s="95">
        <v>12208200000</v>
      </c>
    </row>
  </sheetData>
  <hyperlinks>
    <hyperlink ref="J1" location="'Mục lục'!A206" display="← Mục lục"/>
  </hyperlinks>
  <pageMargins left="0.7" right="0.7" top="0.75" bottom="0.75" header="0.3" footer="0.3"/>
</worksheet>
</file>

<file path=xl/worksheets/sheet173.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ĐƠN GIÁ NỘI BỘ — không gửi đi</t>
        </is>
      </c>
      <c r="C1" s="105" t="inlineStr">
        <is>
          <t>← Mục lục</t>
        </is>
      </c>
    </row>
  </sheetData>
  <hyperlinks>
    <hyperlink ref="C1" location="'Mục lục'!A206" display="← Mục lục"/>
  </hyperlinks>
  <pageMargins left="0.7" right="0.7" top="0.75" bottom="0.75" header="0.3" footer="0.3"/>
</worksheet>
</file>

<file path=xl/worksheets/sheet174.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CHIẾT TÍNH ĐƠN GIÁ — không gửi đi</t>
        </is>
      </c>
      <c r="C1" s="105" t="inlineStr">
        <is>
          <t>← Mục lục</t>
        </is>
      </c>
    </row>
  </sheetData>
  <hyperlinks>
    <hyperlink ref="C1" location="'Mục lục'!A206" display="← Mục lục"/>
  </hyperlinks>
  <pageMargins left="0.7" right="0.7" top="0.75" bottom="0.75" header="0.3" footer="0.3"/>
</worksheet>
</file>

<file path=xl/worksheets/sheet175.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PHỤ LỤC</t>
        </is>
      </c>
      <c r="C1" s="105" t="inlineStr">
        <is>
          <t>← Mục lục</t>
        </is>
      </c>
    </row>
  </sheetData>
  <hyperlinks>
    <hyperlink ref="C1" location="'Mục lục'!A206" display="← Mục lục"/>
  </hyperlinks>
  <pageMargins left="0.7" right="0.7" top="0.75" bottom="0.75" header="0.3" footer="0.3"/>
</worksheet>
</file>

<file path=xl/worksheets/sheet176.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NHÁP — không gửi đi</t>
        </is>
      </c>
      <c r="C1" s="105" t="inlineStr">
        <is>
          <t>← Mục lục</t>
        </is>
      </c>
    </row>
  </sheetData>
  <hyperlinks>
    <hyperlink ref="C1" location="'Mục lục'!A206" display="← Mục lục"/>
  </hyperlinks>
  <pageMargins left="0.7" right="0.7" top="0.75" bottom="0.75" header="0.3" footer="0.3"/>
</worksheet>
</file>

<file path=xl/worksheets/sheet177.xml><?xml version="1.0" encoding="utf-8"?>
<worksheet xmlns="http://schemas.openxmlformats.org/spreadsheetml/2006/main" xmlns:r="http://schemas.openxmlformats.org/officeDocument/2006/relationships">
  <dimension ref="A1:H6"/>
  <sheetViews>
    <sheetView workbookViewId="0">
      <selection activeCell="D4" sqref="D4"/>
    </sheetView>
  </sheetViews>
  <sheetFormatPr defaultRowHeight="15"/>
  <cols>
    <col min="1" max="1" width="6.00" customWidth="1"/>
    <col min="2" max="2" width="34.00" customWidth="1"/>
    <col min="3" max="3" width="8.00" customWidth="1"/>
    <col min="4" max="4" width="16.00" customWidth="1"/>
    <col min="5" max="5" width="8.00" customWidth="1"/>
    <col min="6" max="6" width="8.00" customWidth="1"/>
    <col min="8" max="8" width="12.00" customWidth="1"/>
  </cols>
  <sheetData>
    <row r="1">
      <c r="B1" s="1" t="inlineStr">
        <is>
          <t>BẢNG TỔNG HỢP ĐƠN GIÁ</t>
        </is>
      </c>
      <c r="H1" s="105" t="inlineStr">
        <is>
          <t>← Mục lục</t>
        </is>
      </c>
    </row>
    <row r="3">
      <c r="A3" s="3" t="inlineStr">
        <is>
          <t>TT</t>
        </is>
      </c>
      <c r="B3" s="3" t="inlineStr">
        <is>
          <t>Tên công tác</t>
        </is>
      </c>
      <c r="C3" s="3" t="inlineStr">
        <is>
          <t>ĐVT</t>
        </is>
      </c>
      <c r="D3" s="3" t="inlineStr">
        <is>
          <t>Đơn giá (đồng)</t>
        </is>
      </c>
    </row>
    <row r="4">
      <c r="A4" s="6">
        <v>1</v>
      </c>
      <c r="B4" s="4" t="inlineStr">
        <is>
          <t>Bê tông móng B25</t>
        </is>
      </c>
      <c r="C4" s="6" t="inlineStr">
        <is>
          <t>m³</t>
        </is>
      </c>
      <c r="D4" s="33">
        <f>'Chietinh-VT'!$G$42</f>
        <v>1865400.0</v>
      </c>
    </row>
    <row r="5">
      <c r="A5" s="6">
        <v>2</v>
      </c>
      <c r="B5" s="4" t="inlineStr">
        <is>
          <t>Cốt thép móng CB400-V, D ≤ 18</t>
        </is>
      </c>
      <c r="C5" s="6" t="inlineStr">
        <is>
          <t>tấn</t>
        </is>
      </c>
      <c r="D5" s="33">
        <v>22150000</v>
      </c>
    </row>
    <row r="6">
      <c r="A6" s="6">
        <v>3</v>
      </c>
      <c r="B6" s="4" t="inlineStr">
        <is>
          <t>Ván khuôn móng</t>
        </is>
      </c>
      <c r="C6" s="6" t="inlineStr">
        <is>
          <t>m²</t>
        </is>
      </c>
      <c r="D6" s="33">
        <v>186500</v>
      </c>
    </row>
  </sheetData>
  <hyperlinks>
    <hyperlink ref="H1" location="'Mục lục'!A207" display="← Mục lục"/>
  </hyperlinks>
  <pageMargins left="0.7" right="0.7" top="0.75" bottom="0.75" header="0.3" footer="0.3"/>
</worksheet>
</file>

<file path=xl/worksheets/sheet178.xml><?xml version="1.0" encoding="utf-8"?>
<worksheet xmlns="http://schemas.openxmlformats.org/spreadsheetml/2006/main" xmlns:r="http://schemas.openxmlformats.org/officeDocument/2006/relationships">
  <dimension ref="A1:I42"/>
  <sheetViews>
    <sheetView workbookViewId="0"/>
  </sheetViews>
  <sheetFormatPr defaultRowHeight="15"/>
  <cols>
    <col min="6" max="6" width="10.00" customWidth="1"/>
    <col min="7" max="7" width="14.00" customWidth="1"/>
    <col min="9" max="9" width="12.00" customWidth="1"/>
  </cols>
  <sheetData>
    <row r="1">
      <c r="A1" s="1" t="inlineStr">
        <is>
          <t>CHIẾT TÍNH ĐƠN GIÁ VẬT TƯ (sheet ẩn)</t>
        </is>
      </c>
      <c r="I1" s="105" t="inlineStr">
        <is>
          <t>← Mục lục</t>
        </is>
      </c>
    </row>
    <row r="42">
      <c r="F42" s="1" t="inlineStr">
        <is>
          <t>Đơn giá</t>
        </is>
      </c>
      <c r="G42" s="95">
        <v>1865400</v>
      </c>
    </row>
  </sheetData>
  <hyperlinks>
    <hyperlink ref="I1" location="'Mục lục'!A207" display="← Mục lục"/>
  </hyperlinks>
  <pageMargins left="0.7" right="0.7" top="0.75" bottom="0.75" header="0.3" footer="0.3"/>
</worksheet>
</file>

<file path=xl/worksheets/sheet179.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GIÁ VẬT LIỆU (sheet ẩn)</t>
        </is>
      </c>
      <c r="C1" s="105" t="inlineStr">
        <is>
          <t>← Mục lục</t>
        </is>
      </c>
    </row>
  </sheetData>
  <hyperlinks>
    <hyperlink ref="C1" location="'Mục lục'!A207" display="← Mục lục"/>
  </hyperlinks>
  <pageMargins left="0.7" right="0.7" top="0.75" bottom="0.75" header="0.3" footer="0.3"/>
</worksheet>
</file>

<file path=xl/worksheets/sheet180.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ĐƠN GIÁ CHI TIẾT (sheet ẩn)</t>
        </is>
      </c>
      <c r="C1" s="105" t="inlineStr">
        <is>
          <t>← Mục lục</t>
        </is>
      </c>
    </row>
  </sheetData>
  <hyperlinks>
    <hyperlink ref="C1" location="'Mục lục'!A207" display="← Mục lục"/>
  </hyperlinks>
  <pageMargins left="0.7" right="0.7" top="0.75" bottom="0.75" header="0.3" footer="0.3"/>
</worksheet>
</file>

<file path=xl/worksheets/sheet181.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KHỐI LƯỢNG</t>
        </is>
      </c>
      <c r="C1" s="105" t="inlineStr">
        <is>
          <t>← Mục lục</t>
        </is>
      </c>
    </row>
  </sheetData>
  <hyperlinks>
    <hyperlink ref="C1" location="'Mục lục'!A207" display="← Mục lục"/>
  </hyperlinks>
  <pageMargins left="0.7" right="0.7" top="0.75" bottom="0.75" header="0.3" footer="0.3"/>
</worksheet>
</file>

<file path=xl/worksheets/sheet182.xml><?xml version="1.0" encoding="utf-8"?>
<worksheet xmlns="http://schemas.openxmlformats.org/spreadsheetml/2006/main" xmlns:r="http://schemas.openxmlformats.org/officeDocument/2006/relationships">
  <dimension ref="A1:C1"/>
  <sheetViews>
    <sheetView workbookViewId="0"/>
  </sheetViews>
  <sheetFormatPr defaultRowHeight="15"/>
  <cols>
    <col min="3" max="3" width="12.00" customWidth="1"/>
  </cols>
  <sheetData>
    <row r="1">
      <c r="A1" s="1" t="inlineStr">
        <is>
          <t>PHỤ LỤC</t>
        </is>
      </c>
      <c r="C1" s="105" t="inlineStr">
        <is>
          <t>← Mục lục</t>
        </is>
      </c>
    </row>
  </sheetData>
  <hyperlinks>
    <hyperlink ref="C1" location="'Mục lục'!A207" display="← Mục lục"/>
  </hyperlinks>
  <pageMargins left="0.7" right="0.7" top="0.75" bottom="0.75" header="0.3" footer="0.3"/>
</worksheet>
</file>

<file path=xl/worksheets/sheet183.xml><?xml version="1.0" encoding="utf-8"?>
<worksheet xmlns="http://schemas.openxmlformats.org/spreadsheetml/2006/main" xmlns:r="http://schemas.openxmlformats.org/officeDocument/2006/relationships">
  <dimension ref="A1:G6"/>
  <sheetViews>
    <sheetView workbookViewId="0">
      <selection activeCell="D4" sqref="D4"/>
    </sheetView>
  </sheetViews>
  <sheetFormatPr defaultRowHeight="15"/>
  <cols>
    <col min="1" max="1" width="12.00" customWidth="1"/>
    <col min="2" max="2" width="22.00" customWidth="1"/>
    <col min="3" max="3" width="14.00" customWidth="1"/>
    <col min="4" max="4" width="30.00" customWidth="1"/>
    <col min="5" max="5" width="8.00" customWidth="1"/>
    <col min="7" max="7" width="12.00" customWidth="1"/>
  </cols>
  <sheetData>
    <row r="1">
      <c r="A1" s="1" t="inlineStr">
        <is>
          <t>NHẬT KÝ ẢNH HIỆN TRƯỜNG — TUẦN 32/2026</t>
        </is>
      </c>
      <c r="G1" s="105" t="inlineStr">
        <is>
          <t>← Mục lục</t>
        </is>
      </c>
    </row>
    <row r="3">
      <c r="A3" s="3" t="inlineStr">
        <is>
          <t>Ngày</t>
        </is>
      </c>
      <c r="B3" s="3" t="inlineStr">
        <is>
          <t>Vị trí</t>
        </is>
      </c>
      <c r="C3" s="3" t="inlineStr">
        <is>
          <t>Hình ảnh</t>
        </is>
      </c>
      <c r="D3" s="3" t="inlineStr">
        <is>
          <t>Nhận xét</t>
        </is>
      </c>
    </row>
    <row r="4" ht="48.00" customHeight="1">
      <c r="A4" s="5">
        <v>46239</v>
      </c>
      <c r="B4" s="47" t="inlineStr">
        <is>
          <t>Sàn tầng 5, trục 1–3</t>
        </is>
      </c>
      <c r="C4" s="96" t="inlineStr">
        <is>
          <t>ảnh</t>
        </is>
      </c>
      <c r="D4" s="47" t="inlineStr">
        <is>
          <t>Thép sàn Ø10a150, đủ con kê</t>
        </is>
      </c>
    </row>
    <row r="5" ht="48.00" customHeight="1">
      <c r="A5" s="5">
        <v>46240</v>
      </c>
      <c r="B5" s="47" t="inlineStr">
        <is>
          <t>Sàn tầng 5, trục 3–6</t>
        </is>
      </c>
      <c r="C5" s="96" t="inlineStr">
        <is>
          <t>ảnh</t>
        </is>
      </c>
      <c r="D5" s="47" t="inlineStr">
        <is>
          <t>Bổ sung con kê ô sàn S5-4</t>
        </is>
      </c>
    </row>
    <row r="6" ht="48.00" customHeight="1">
      <c r="A6" s="5">
        <v>46241</v>
      </c>
      <c r="B6" s="47" t="inlineStr">
        <is>
          <t>Dầm D5-12, trục B</t>
        </is>
      </c>
      <c r="C6" s="96" t="inlineStr">
        <is>
          <t>ảnh</t>
        </is>
      </c>
      <c r="D6" s="47" t="inlineStr">
        <is>
          <t>Đạt, cho phép đổ bê tông</t>
        </is>
      </c>
    </row>
  </sheetData>
  <hyperlinks>
    <hyperlink ref="G1" location="'Mục lục'!A210" display="← Mục lục"/>
  </hyperlinks>
  <pageMargins left="0.7" right="0.7" top="0.75" bottom="0.75" header="0.3" footer="0.3"/>
</worksheet>
</file>

<file path=xl/worksheets/sheet184.xml><?xml version="1.0" encoding="utf-8"?>
<worksheet xmlns="http://schemas.openxmlformats.org/spreadsheetml/2006/main" xmlns:r="http://schemas.openxmlformats.org/officeDocument/2006/relationships">
  <dimension ref="A1:G15"/>
  <sheetViews>
    <sheetView workbookViewId="0">
      <selection activeCell="A4" sqref="A4:E13"/>
    </sheetView>
  </sheetViews>
  <sheetFormatPr defaultRowHeight="15"/>
  <cols>
    <col min="1" max="1" width="5.00" customWidth="1"/>
    <col min="2" max="2" width="40.00" customWidth="1"/>
    <col min="3" max="3" width="7.00" customWidth="1"/>
    <col min="4" max="4" width="11.00" customWidth="1"/>
    <col min="5" max="5" width="18.00" customWidth="1"/>
    <col min="7" max="7" width="12.00" customWidth="1"/>
  </cols>
  <sheetData>
    <row r="1">
      <c r="A1" s="1" t="inlineStr">
        <is>
          <t>BẢNG KHỐI LƯỢNG PHÁT SINH — ĐỢT 3</t>
        </is>
      </c>
      <c r="G1" s="105" t="inlineStr">
        <is>
          <t>← Mục lục</t>
        </is>
      </c>
    </row>
    <row r="3">
      <c r="A3" s="3" t="inlineStr">
        <is>
          <t>TT</t>
        </is>
      </c>
      <c r="B3" s="3" t="inlineStr">
        <is>
          <t>Nội dung công việc</t>
        </is>
      </c>
      <c r="C3" s="3" t="inlineStr">
        <is>
          <t>ĐVT</t>
        </is>
      </c>
      <c r="D3" s="3" t="inlineStr">
        <is>
          <t>Khối lượng</t>
        </is>
      </c>
      <c r="E3" s="3" t="inlineStr">
        <is>
          <t>Ghi chú</t>
        </is>
      </c>
    </row>
    <row r="4">
      <c r="A4" s="6">
        <v>1</v>
      </c>
      <c r="B4" s="4" t="inlineStr">
        <is>
          <t>Đào đất hố ga bổ sung</t>
        </is>
      </c>
      <c r="C4" s="6" t="inlineStr">
        <is>
          <t>m³</t>
        </is>
      </c>
      <c r="D4" s="32">
        <v>12.5</v>
      </c>
      <c r="E4" s="4"/>
    </row>
    <row r="5">
      <c r="A5" s="6">
        <v>2</v>
      </c>
      <c r="B5" s="4" t="inlineStr">
        <is>
          <t>Bê tông lót hố ga M100</t>
        </is>
      </c>
      <c r="C5" s="6" t="inlineStr">
        <is>
          <t>m³</t>
        </is>
      </c>
      <c r="D5" s="32">
        <v>1.8</v>
      </c>
      <c r="E5" s="4"/>
    </row>
    <row r="6">
      <c r="A6" s="6">
        <v>3</v>
      </c>
      <c r="B6" s="4" t="inlineStr">
        <is>
          <t>Xây tường hố ga gạch đặc, VXM M75</t>
        </is>
      </c>
      <c r="C6" s="6" t="inlineStr">
        <is>
          <t>m³</t>
        </is>
      </c>
      <c r="D6" s="32">
        <v>3.2</v>
      </c>
      <c r="E6" s="4"/>
    </row>
    <row r="7">
      <c r="A7" s="6">
        <v>4</v>
      </c>
      <c r="B7" s="4" t="inlineStr">
        <is>
          <t>Trát tường hố ga dày 2 cm, VXM M75</t>
        </is>
      </c>
      <c r="C7" s="6" t="inlineStr">
        <is>
          <t>m²</t>
        </is>
      </c>
      <c r="D7" s="32">
        <v>24.6</v>
      </c>
      <c r="E7" s="4"/>
    </row>
    <row r="8">
      <c r="A8" s="6">
        <v>5</v>
      </c>
      <c r="B8" s="4" t="inlineStr">
        <is>
          <t>Nắp đan BTCT hố ga 1,0×1,0 m</t>
        </is>
      </c>
      <c r="C8" s="6" t="inlineStr">
        <is>
          <t>cái</t>
        </is>
      </c>
      <c r="D8" s="4">
        <v>4</v>
      </c>
      <c r="E8" s="4" t="inlineStr">
        <is>
          <t>Theo BB hiện trường</t>
        </is>
      </c>
    </row>
    <row r="9">
      <c r="A9" s="4"/>
      <c r="B9" s="4"/>
      <c r="C9" s="4"/>
      <c r="D9" s="4"/>
      <c r="E9" s="4"/>
    </row>
    <row r="10">
      <c r="A10" s="4"/>
      <c r="B10" s="4"/>
      <c r="C10" s="4"/>
      <c r="D10" s="4"/>
      <c r="E10" s="4"/>
    </row>
    <row r="11">
      <c r="A11" s="4"/>
      <c r="B11" s="4"/>
      <c r="C11" s="4"/>
      <c r="D11" s="4"/>
      <c r="E11" s="4"/>
    </row>
    <row r="12">
      <c r="A12" s="4"/>
      <c r="B12" s="4"/>
      <c r="C12" s="4"/>
      <c r="D12" s="4"/>
      <c r="E12" s="4"/>
    </row>
    <row r="13">
      <c r="A13" s="4"/>
      <c r="B13" s="4"/>
      <c r="C13" s="4"/>
      <c r="D13" s="4"/>
      <c r="E13" s="4"/>
    </row>
    <row r="15">
      <c r="B15" s="29" t="inlineStr">
        <is>
          <t>ĐẠI DIỆN TƯ VẤN GIÁM SÁT</t>
        </is>
      </c>
      <c r="D15" s="29" t="inlineStr">
        <is>
          <t>ĐẠI DIỆN NHÀ THẦU</t>
        </is>
      </c>
    </row>
  </sheetData>
  <mergeCells count="1">
    <mergeCell ref="D15:E15"/>
  </mergeCells>
  <hyperlinks>
    <hyperlink ref="G1" location="'Mục lục'!A211" display="← Mục lục"/>
  </hyperlinks>
  <pageMargins left="0.7" right="0.7" top="0.75" bottom="0.75" header="0.3" footer="0.3"/>
</worksheet>
</file>

<file path=xl/worksheets/sheet185.xml><?xml version="1.0" encoding="utf-8"?>
<worksheet xmlns="http://schemas.openxmlformats.org/spreadsheetml/2006/main" xmlns:r="http://schemas.openxmlformats.org/officeDocument/2006/relationships">
  <dimension ref="A1:H7"/>
  <sheetViews>
    <sheetView workbookViewId="0">
      <selection activeCell="C5" sqref="C5"/>
    </sheetView>
  </sheetViews>
  <sheetFormatPr defaultRowHeight="15"/>
  <cols>
    <col min="1" max="1" width="4.00" customWidth="1"/>
    <col min="2" max="2" width="9.00" customWidth="1"/>
    <col min="3" max="3" width="11.00" customWidth="1"/>
    <col min="4" max="4" width="11.00" customWidth="1"/>
    <col min="5" max="5" width="11.00" customWidth="1"/>
    <col min="6" max="6" width="22.00" customWidth="1"/>
    <col min="8" max="8" width="12.00" customWidth="1"/>
  </cols>
  <sheetData>
    <row r="1">
      <c r="A1" s="1" t="inlineStr">
        <is>
          <t>TỔNG HỢP KHỐI LƯỢNG BÊ TÔNG THEO THÁNG (m3)</t>
        </is>
      </c>
      <c r="H1" s="105" t="inlineStr">
        <is>
          <t>← Mục lục</t>
        </is>
      </c>
    </row>
    <row r="4">
      <c r="A4" s="3" t="inlineStr">
        <is>
          <t>TT</t>
        </is>
      </c>
      <c r="B4" s="3" t="inlineStr">
        <is>
          <t>Mã CV</t>
        </is>
      </c>
      <c r="C4" s="3" t="inlineStr">
        <is>
          <t>T8/2026</t>
        </is>
      </c>
      <c r="D4" s="3" t="inlineStr">
        <is>
          <t>T9/2026</t>
        </is>
      </c>
      <c r="E4" s="3" t="inlineStr">
        <is>
          <t>T10/2026</t>
        </is>
      </c>
      <c r="F4" s="3" t="inlineStr">
        <is>
          <t>Diễn giải</t>
        </is>
      </c>
    </row>
    <row r="5">
      <c r="A5" s="6">
        <v>1</v>
      </c>
      <c r="B5" s="6" t="inlineStr">
        <is>
          <t>BT.M</t>
        </is>
      </c>
      <c r="C5" s="36">
        <f>SUMPRODUCT((MaCV=$B5)*(Thang=C$4)*KhoiLuong)</f>
        <v>142.5</v>
      </c>
      <c r="D5" s="14">
        <f>SUMPRODUCT((MaCV=$B5)*(Thang=D$4)*KhoiLuong)</f>
        <v>96.0</v>
      </c>
      <c r="E5" s="14">
        <f>SUMPRODUCT((MaCV=$B5)*(Thang=E$4)*KhoiLuong)</f>
        <v>48.0</v>
      </c>
      <c r="F5" s="4" t="inlineStr">
        <is>
          <t>Bê tông móng</t>
        </is>
      </c>
    </row>
    <row r="6">
      <c r="A6" s="6">
        <v>2</v>
      </c>
      <c r="B6" s="6" t="inlineStr">
        <is>
          <t>BT.C</t>
        </is>
      </c>
      <c r="C6" s="14">
        <f>SUMPRODUCT((MaCV=$B6)*(Thang=C$4)*KhoiLuong)</f>
        <v>0.0</v>
      </c>
      <c r="D6" s="36">
        <f>SUMPRODUCT((MaCV=$B6)*(Thang=D$4)*KhoiLuong)</f>
        <v>38.4</v>
      </c>
      <c r="E6" s="36">
        <f>SUMPRODUCT((MaCV=$B6)*(Thang=E$4)*KhoiLuong)</f>
        <v>57.6</v>
      </c>
      <c r="F6" s="4" t="inlineStr">
        <is>
          <t>Bê tông cột</t>
        </is>
      </c>
    </row>
    <row r="7">
      <c r="A7" s="6">
        <v>3</v>
      </c>
      <c r="B7" s="6" t="inlineStr">
        <is>
          <t>BT.S</t>
        </is>
      </c>
      <c r="C7" s="14">
        <f>SUMPRODUCT((MaCV=$B7)*(Thang=C$4)*KhoiLuong)</f>
        <v>0.0</v>
      </c>
      <c r="D7" s="14">
        <f>SUMPRODUCT((MaCV=$B7)*(Thang=D$4)*KhoiLuong)</f>
        <v>0.0</v>
      </c>
      <c r="E7" s="36">
        <f>SUMPRODUCT((MaCV=$B7)*(Thang=E$4)*KhoiLuong)</f>
        <v>112.8</v>
      </c>
      <c r="F7" s="4" t="inlineStr">
        <is>
          <t>Bê tông sàn</t>
        </is>
      </c>
    </row>
  </sheetData>
  <hyperlinks>
    <hyperlink ref="H1" location="'Mục lục'!A214" display="← Mục lục"/>
  </hyperlinks>
  <pageMargins left="0.7" right="0.7" top="0.75" bottom="0.75" header="0.3" footer="0.3"/>
</worksheet>
</file>

<file path=xl/worksheets/sheet186.xml><?xml version="1.0" encoding="utf-8"?>
<worksheet xmlns="http://schemas.openxmlformats.org/spreadsheetml/2006/main" xmlns:r="http://schemas.openxmlformats.org/officeDocument/2006/relationships">
  <dimension ref="A1:F10"/>
  <sheetViews>
    <sheetView workbookViewId="0"/>
  </sheetViews>
  <sheetFormatPr defaultRowHeight="15"/>
  <cols>
    <col min="1" max="1" width="12.00" customWidth="1"/>
    <col min="2" max="2" width="10.00" customWidth="1"/>
    <col min="3" max="3" width="12.00" customWidth="1"/>
    <col min="4" max="4" width="12.00" customWidth="1"/>
    <col min="6" max="6" width="12.00" customWidth="1"/>
  </cols>
  <sheetData>
    <row r="1">
      <c r="A1" s="1" t="inlineStr">
        <is>
          <t>NHẬT KÝ ĐỔ BÊ TÔNG (m3) — nguồn của các tên vùng MaCV, Thang, KhoiLuong</t>
        </is>
      </c>
      <c r="F1" s="105" t="inlineStr">
        <is>
          <t>← Mục lục</t>
        </is>
      </c>
    </row>
    <row r="3">
      <c r="A3" s="3" t="inlineStr">
        <is>
          <t>Ngày đổ</t>
        </is>
      </c>
      <c r="B3" s="3" t="inlineStr">
        <is>
          <t>Mã CV</t>
        </is>
      </c>
      <c r="C3" s="3" t="inlineStr">
        <is>
          <t>Tháng</t>
        </is>
      </c>
      <c r="D3" s="3" t="inlineStr">
        <is>
          <t>Khối lượng</t>
        </is>
      </c>
    </row>
    <row r="4">
      <c r="A4" s="5">
        <v>46246</v>
      </c>
      <c r="B4" s="6" t="inlineStr">
        <is>
          <t>BT.M</t>
        </is>
      </c>
      <c r="C4" s="6" t="inlineStr">
        <is>
          <t>T8/2026</t>
        </is>
      </c>
      <c r="D4" s="32">
        <v>86.5</v>
      </c>
    </row>
    <row r="5">
      <c r="A5" s="5">
        <v>46260</v>
      </c>
      <c r="B5" s="6" t="inlineStr">
        <is>
          <t>BT.M</t>
        </is>
      </c>
      <c r="C5" s="6" t="inlineStr">
        <is>
          <t>T8/2026</t>
        </is>
      </c>
      <c r="D5" s="4">
        <v>56</v>
      </c>
    </row>
    <row r="6">
      <c r="A6" s="5">
        <v>46274</v>
      </c>
      <c r="B6" s="6" t="inlineStr">
        <is>
          <t>BT.M</t>
        </is>
      </c>
      <c r="C6" s="6" t="inlineStr">
        <is>
          <t>T9/2026</t>
        </is>
      </c>
      <c r="D6" s="4">
        <v>96</v>
      </c>
    </row>
    <row r="7">
      <c r="A7" s="5">
        <v>46283</v>
      </c>
      <c r="B7" s="6" t="inlineStr">
        <is>
          <t>BT.C</t>
        </is>
      </c>
      <c r="C7" s="6" t="inlineStr">
        <is>
          <t>T9/2026</t>
        </is>
      </c>
      <c r="D7" s="32">
        <v>38.4</v>
      </c>
    </row>
    <row r="8">
      <c r="A8" s="5">
        <v>46302</v>
      </c>
      <c r="B8" s="6" t="inlineStr">
        <is>
          <t>BT.M</t>
        </is>
      </c>
      <c r="C8" s="6" t="inlineStr">
        <is>
          <t>T10/2026</t>
        </is>
      </c>
      <c r="D8" s="4">
        <v>48</v>
      </c>
    </row>
    <row r="9">
      <c r="A9" s="5">
        <v>46309</v>
      </c>
      <c r="B9" s="6" t="inlineStr">
        <is>
          <t>BT.C</t>
        </is>
      </c>
      <c r="C9" s="6" t="inlineStr">
        <is>
          <t>T10/2026</t>
        </is>
      </c>
      <c r="D9" s="32">
        <v>57.6</v>
      </c>
    </row>
    <row r="10">
      <c r="A10" s="5">
        <v>46316</v>
      </c>
      <c r="B10" s="6" t="inlineStr">
        <is>
          <t>BT.S</t>
        </is>
      </c>
      <c r="C10" s="6" t="inlineStr">
        <is>
          <t>T10/2026</t>
        </is>
      </c>
      <c r="D10" s="32">
        <v>112.8</v>
      </c>
    </row>
  </sheetData>
  <hyperlinks>
    <hyperlink ref="F1" location="'Mục lục'!A214" display="← Mục lục"/>
  </hyperlinks>
  <pageMargins left="0.7" right="0.7" top="0.75" bottom="0.75" header="0.3" footer="0.3"/>
</worksheet>
</file>

<file path=xl/worksheets/sheet187.xml><?xml version="1.0" encoding="utf-8"?>
<worksheet xmlns="http://schemas.openxmlformats.org/spreadsheetml/2006/main" xmlns:r="http://schemas.openxmlformats.org/officeDocument/2006/relationships">
  <dimension ref="A1:I7"/>
  <sheetViews>
    <sheetView workbookViewId="0">
      <selection activeCell="F6" sqref="F6"/>
    </sheetView>
  </sheetViews>
  <sheetFormatPr defaultRowHeight="15"/>
  <cols>
    <col min="1" max="1" width="4.00" customWidth="1"/>
    <col min="2" max="2" width="9.00" customWidth="1"/>
    <col min="3" max="3" width="24.00" customWidth="1"/>
    <col min="4" max="4" width="5.00" customWidth="1"/>
    <col min="5" max="5" width="8.00" customWidth="1"/>
    <col min="6" max="6" width="12.00" customWidth="1"/>
    <col min="7" max="7" width="14.00" customWidth="1"/>
    <col min="9" max="9" width="12.00" customWidth="1"/>
  </cols>
  <sheetData>
    <row r="1">
      <c r="A1" s="1" t="inlineStr">
        <is>
          <t>DỰ TOÁN PHẦN MÓNG</t>
        </is>
      </c>
      <c r="I1" s="105" t="inlineStr">
        <is>
          <t>← Mục lục</t>
        </is>
      </c>
    </row>
    <row r="3">
      <c r="A3" s="3" t="inlineStr">
        <is>
          <t>TT</t>
        </is>
      </c>
      <c r="B3" s="3" t="inlineStr">
        <is>
          <t>Mã ĐG</t>
        </is>
      </c>
      <c r="C3" s="3" t="inlineStr">
        <is>
          <t>Hạng mục</t>
        </is>
      </c>
      <c r="D3" s="3" t="inlineStr">
        <is>
          <t>ĐVT</t>
        </is>
      </c>
      <c r="E3" s="3" t="inlineStr">
        <is>
          <t>KL</t>
        </is>
      </c>
      <c r="F3" s="3" t="inlineStr">
        <is>
          <t>Đơn giá</t>
        </is>
      </c>
      <c r="G3" s="3" t="inlineStr">
        <is>
          <t>Thành tiền</t>
        </is>
      </c>
    </row>
    <row r="4">
      <c r="A4" s="6">
        <v>1</v>
      </c>
      <c r="B4" s="4" t="inlineStr">
        <is>
          <t>BT01</t>
        </is>
      </c>
      <c r="C4" s="4" t="inlineStr">
        <is>
          <t>Bê tông lót móng M100</t>
        </is>
      </c>
      <c r="D4" s="6" t="inlineStr">
        <is>
          <t>m3</t>
        </is>
      </c>
      <c r="E4" s="36">
        <v>18.6</v>
      </c>
      <c r="F4" s="15">
        <f>VLOOKUP(B4,DonGia!A:D,4,0)</f>
        <v>1320000.0</v>
      </c>
      <c r="G4" s="15">
        <f>E4*F4</f>
        <v>24552000.0</v>
      </c>
    </row>
    <row r="5">
      <c r="A5" s="6">
        <v>2</v>
      </c>
      <c r="B5" s="4" t="inlineStr">
        <is>
          <t>BT02</t>
        </is>
      </c>
      <c r="C5" s="4" t="inlineStr">
        <is>
          <t>Bê tông móng M300</t>
        </is>
      </c>
      <c r="D5" s="6" t="inlineStr">
        <is>
          <t>m3</t>
        </is>
      </c>
      <c r="E5" s="36">
        <v>286.5</v>
      </c>
      <c r="F5" s="15">
        <f>VLOOKUP(B5,DonGia!A:D,4,0)</f>
        <v>1850000.0</v>
      </c>
      <c r="G5" s="15">
        <f>E5*F5</f>
        <v>530025000.0</v>
      </c>
    </row>
    <row r="6">
      <c r="A6" s="6">
        <v>3</v>
      </c>
      <c r="B6" s="4" t="inlineStr">
        <is>
          <t xml:space="preserve">CT01 </t>
        </is>
      </c>
      <c r="C6" s="4" t="inlineStr">
        <is>
          <t>Cốt thép móng</t>
        </is>
      </c>
      <c r="D6" s="6" t="inlineStr">
        <is>
          <t>tấn</t>
        </is>
      </c>
      <c r="E6" s="36">
        <v>34.2</v>
      </c>
      <c r="F6" s="6" t="e">
        <f>VLOOKUP(B6,DonGia!A:D,4,0)</f>
        <v>#N/A</v>
      </c>
      <c r="G6" s="6" t="e">
        <f>E6*F6</f>
        <v>#N/A</v>
      </c>
    </row>
    <row r="7">
      <c r="A7" s="6">
        <v>4</v>
      </c>
      <c r="B7" s="4" t="inlineStr">
        <is>
          <t>VK01</t>
        </is>
      </c>
      <c r="C7" s="4" t="inlineStr">
        <is>
          <t>Ván khuôn móng</t>
        </is>
      </c>
      <c r="D7" s="6" t="inlineStr">
        <is>
          <t>m2</t>
        </is>
      </c>
      <c r="E7" s="14">
        <v>236</v>
      </c>
      <c r="F7" s="15">
        <f>VLOOKUP(B7,DonGia!A:D,4,0)</f>
        <v>185000.0</v>
      </c>
      <c r="G7" s="15">
        <f>E7*F7</f>
        <v>43660000.0</v>
      </c>
    </row>
  </sheetData>
  <hyperlinks>
    <hyperlink ref="I1" location="'Mục lục'!A215" display="← Mục lục"/>
  </hyperlinks>
  <pageMargins left="0.7" right="0.7" top="0.75" bottom="0.75" header="0.3" footer="0.3"/>
</worksheet>
</file>

<file path=xl/worksheets/sheet188.xml><?xml version="1.0" encoding="utf-8"?>
<worksheet xmlns="http://schemas.openxmlformats.org/spreadsheetml/2006/main" xmlns:r="http://schemas.openxmlformats.org/officeDocument/2006/relationships">
  <dimension ref="A1:F7"/>
  <sheetViews>
    <sheetView workbookViewId="0"/>
  </sheetViews>
  <sheetFormatPr defaultRowHeight="15"/>
  <cols>
    <col min="1" max="1" width="9.00" customWidth="1"/>
    <col min="2" max="2" width="28.00" customWidth="1"/>
    <col min="3" max="3" width="7.00" customWidth="1"/>
    <col min="4" max="4" width="13.00" customWidth="1"/>
    <col min="6" max="6" width="12.00" customWidth="1"/>
  </cols>
  <sheetData>
    <row r="1">
      <c r="A1" s="1" t="inlineStr">
        <is>
          <t>ĐƠN GIÁ VẬT LIỆU — PHẦN MÓNG</t>
        </is>
      </c>
      <c r="F1" s="105" t="inlineStr">
        <is>
          <t>← Mục lục</t>
        </is>
      </c>
    </row>
    <row r="3">
      <c r="A3" s="3" t="inlineStr">
        <is>
          <t>Mã ĐG</t>
        </is>
      </c>
      <c r="B3" s="3" t="inlineStr">
        <is>
          <t>Hạng mục</t>
        </is>
      </c>
      <c r="C3" s="3" t="inlineStr">
        <is>
          <t>ĐVT</t>
        </is>
      </c>
      <c r="D3" s="3" t="inlineStr">
        <is>
          <t>Đơn giá</t>
        </is>
      </c>
    </row>
    <row r="4">
      <c r="A4" s="4" t="inlineStr">
        <is>
          <t>BT01</t>
        </is>
      </c>
      <c r="B4" s="4" t="inlineStr">
        <is>
          <t>Bê tông lót móng M100</t>
        </is>
      </c>
      <c r="C4" s="6" t="inlineStr">
        <is>
          <t>m3</t>
        </is>
      </c>
      <c r="D4" s="33">
        <v>1320000</v>
      </c>
    </row>
    <row r="5">
      <c r="A5" s="4" t="inlineStr">
        <is>
          <t>BT02</t>
        </is>
      </c>
      <c r="B5" s="4" t="inlineStr">
        <is>
          <t>Bê tông móng M300</t>
        </is>
      </c>
      <c r="C5" s="6" t="inlineStr">
        <is>
          <t>m3</t>
        </is>
      </c>
      <c r="D5" s="33">
        <v>1850000</v>
      </c>
    </row>
    <row r="6">
      <c r="A6" s="4" t="inlineStr">
        <is>
          <t>CT01</t>
        </is>
      </c>
      <c r="B6" s="4" t="inlineStr">
        <is>
          <t>Cốt thép móng</t>
        </is>
      </c>
      <c r="C6" s="6" t="inlineStr">
        <is>
          <t>tấn</t>
        </is>
      </c>
      <c r="D6" s="33">
        <v>21500000</v>
      </c>
    </row>
    <row r="7">
      <c r="A7" s="4" t="inlineStr">
        <is>
          <t>VK01</t>
        </is>
      </c>
      <c r="B7" s="4" t="inlineStr">
        <is>
          <t>Ván khuôn móng</t>
        </is>
      </c>
      <c r="C7" s="6" t="inlineStr">
        <is>
          <t>m2</t>
        </is>
      </c>
      <c r="D7" s="33">
        <v>185000</v>
      </c>
    </row>
  </sheetData>
  <hyperlinks>
    <hyperlink ref="F1" location="'Mục lục'!A215" display="← Mục lục"/>
  </hyperlinks>
  <pageMargins left="0.7" right="0.7" top="0.75" bottom="0.75" header="0.3" footer="0.3"/>
</worksheet>
</file>

<file path=xl/worksheets/sheet189.xml><?xml version="1.0" encoding="utf-8"?>
<worksheet xmlns="http://schemas.openxmlformats.org/spreadsheetml/2006/main" xmlns:r="http://schemas.openxmlformats.org/officeDocument/2006/relationships">
  <dimension ref="A1:D7"/>
  <sheetViews>
    <sheetView workbookViewId="0">
      <selection activeCell="B4" sqref="B4:B7"/>
    </sheetView>
  </sheetViews>
  <sheetFormatPr defaultRowHeight="15"/>
  <cols>
    <col min="1" max="1" width="11.00" customWidth="1"/>
    <col min="2" max="2" width="66.00" customWidth="1"/>
    <col min="4" max="4" width="12.00" customWidth="1"/>
  </cols>
  <sheetData>
    <row r="1">
      <c r="A1" s="1" t="inlineStr">
        <is>
          <t>NHẬT KÝ NGHIỆM THU — NHÀ VĂN PHÒNG 9 TẦNG</t>
        </is>
      </c>
      <c r="D1" s="105" t="inlineStr">
        <is>
          <t>← Mục lục</t>
        </is>
      </c>
    </row>
    <row r="3">
      <c r="A3" s="3" t="inlineStr">
        <is>
          <t>Ngày</t>
        </is>
      </c>
      <c r="B3" s="3" t="inlineStr">
        <is>
          <t>Nội dung công việc</t>
        </is>
      </c>
    </row>
    <row r="4">
      <c r="A4" s="5">
        <v>46300</v>
      </c>
      <c r="B4" s="4" t="inlineStr">
        <is>
          <t>nghiem thu cong tac cot thep dam sàn tầng 3 , đạt yêu cầu</t>
        </is>
      </c>
    </row>
    <row r="5">
      <c r="A5" s="5">
        <v>46301</v>
      </c>
      <c r="B5" s="4" t="inlineStr">
        <is>
          <t>lap dung van khuon cot truc A-B ,chua ve sinh</t>
        </is>
      </c>
    </row>
    <row r="6">
      <c r="A6" s="5">
        <v>46302</v>
      </c>
      <c r="B6" s="4" t="inlineStr">
        <is>
          <t>đổ bê tông móng M1 , M2 xong lúc 16h ,bảo dưỡng tưới nước</t>
        </is>
      </c>
    </row>
    <row r="7">
      <c r="A7" s="5">
        <v>46303</v>
      </c>
      <c r="B7" s="4" t="inlineStr">
        <is>
          <t>kiem tra cao do day mong dat theo thiet ke</t>
        </is>
      </c>
    </row>
  </sheetData>
  <hyperlinks>
    <hyperlink ref="D1" location="'Mục lục'!A216" display="← Mục lục"/>
  </hyperlinks>
  <pageMargins left="0.7" right="0.7" top="0.75" bottom="0.75" header="0.3" footer="0.3"/>
</worksheet>
</file>

<file path=xl/worksheets/sheet190.xml><?xml version="1.0" encoding="utf-8"?>
<worksheet xmlns="http://schemas.openxmlformats.org/spreadsheetml/2006/main" xmlns:r="http://schemas.openxmlformats.org/officeDocument/2006/relationships">
  <dimension ref="A1:D5"/>
  <sheetViews>
    <sheetView workbookViewId="0">
      <selection activeCell="B4" sqref="B4"/>
    </sheetView>
  </sheetViews>
  <sheetFormatPr defaultRowHeight="15"/>
  <cols>
    <col min="1" max="1" width="20.00" customWidth="1"/>
    <col min="2" max="2" width="52.00" customWidth="1"/>
    <col min="4" max="4" width="12.00" customWidth="1"/>
  </cols>
  <sheetData>
    <row r="1">
      <c r="A1" s="1" t="inlineStr">
        <is>
          <t>ÔN TẬP SÁT HẠCH AN TOÀN LAO ĐỘNG</t>
        </is>
      </c>
      <c r="D1" s="105" t="inlineStr">
        <is>
          <t>← Mục lục</t>
        </is>
      </c>
    </row>
    <row r="3">
      <c r="A3" s="3" t="inlineStr">
        <is>
          <t>Trang đề</t>
        </is>
      </c>
      <c r="B3" s="3" t="inlineStr">
        <is>
          <t>Đáp án</t>
        </is>
      </c>
    </row>
    <row r="4">
      <c r="A4" s="4" t="inlineStr">
        <is>
          <t>Trang 1 (câu 1–10)</t>
        </is>
      </c>
      <c r="B4" s="4"/>
    </row>
    <row r="5">
      <c r="A5" s="4" t="inlineStr">
        <is>
          <t>Trang 2 (câu 11–20)</t>
        </is>
      </c>
      <c r="B5" s="4"/>
    </row>
  </sheetData>
  <hyperlinks>
    <hyperlink ref="D1" location="'Mục lục'!A217" display="← Mục lục"/>
  </hyperlinks>
  <pageMargins left="0.7" right="0.7" top="0.75" bottom="0.75" header="0.3" footer="0.3"/>
</worksheet>
</file>

<file path=xl/worksheets/sheet191.xml><?xml version="1.0" encoding="utf-8"?>
<worksheet xmlns="http://schemas.openxmlformats.org/spreadsheetml/2006/main" xmlns:r="http://schemas.openxmlformats.org/officeDocument/2006/relationships">
  <dimension ref="A1:H6"/>
  <sheetViews>
    <sheetView workbookViewId="0">
      <selection activeCell="A3" sqref="A3:F6"/>
    </sheetView>
  </sheetViews>
  <sheetFormatPr defaultRowHeight="15"/>
  <cols>
    <col min="1" max="1" width="6.00" customWidth="1"/>
    <col min="2" max="2" width="24.00" customWidth="1"/>
    <col min="3" max="3" width="6.00" customWidth="1"/>
    <col min="4" max="4" width="10.00" customWidth="1"/>
    <col min="5" max="5" width="11.00" customWidth="1"/>
    <col min="6" max="6" width="9.00" customWidth="1"/>
    <col min="8" max="8" width="12.00" customWidth="1"/>
  </cols>
  <sheetData>
    <row r="1">
      <c r="A1" s="1" t="inlineStr">
        <is>
          <t>KHỐI LƯỢNG BÊ TÔNG MÓNG — ĐỐI CHIẾU BẢN VẼ</t>
        </is>
      </c>
      <c r="H1" s="105" t="inlineStr">
        <is>
          <t>← Mục lục</t>
        </is>
      </c>
    </row>
    <row r="3">
      <c r="A3" s="3" t="inlineStr">
        <is>
          <t>Mã</t>
        </is>
      </c>
      <c r="B3" s="3" t="inlineStr">
        <is>
          <t>Cấu kiện</t>
        </is>
      </c>
      <c r="C3" s="3" t="inlineStr">
        <is>
          <t>ĐVT</t>
        </is>
      </c>
      <c r="D3" s="3" t="inlineStr">
        <is>
          <t>KL tính</t>
        </is>
      </c>
      <c r="E3" s="3" t="inlineStr">
        <is>
          <t>KL bản vẽ</t>
        </is>
      </c>
      <c r="F3" s="3" t="inlineStr">
        <is>
          <t>Chênh</t>
        </is>
      </c>
    </row>
    <row r="4">
      <c r="A4" s="6" t="inlineStr">
        <is>
          <t>M1</t>
        </is>
      </c>
      <c r="B4" s="4" t="inlineStr">
        <is>
          <t>Đài móng M1 (8 cái)</t>
        </is>
      </c>
      <c r="C4" s="6" t="inlineStr">
        <is>
          <t>m3</t>
        </is>
      </c>
      <c r="D4" s="14">
        <v>96</v>
      </c>
      <c r="E4" s="14">
        <v>108</v>
      </c>
      <c r="F4" s="97">
        <v>12</v>
      </c>
    </row>
    <row r="5">
      <c r="A5" s="6" t="inlineStr">
        <is>
          <t>M2</t>
        </is>
      </c>
      <c r="B5" s="4" t="inlineStr">
        <is>
          <t>Đài móng M2 (6 cái)</t>
        </is>
      </c>
      <c r="C5" s="6" t="inlineStr">
        <is>
          <t>m3</t>
        </is>
      </c>
      <c r="D5" s="36">
        <v>64.8</v>
      </c>
      <c r="E5" s="36">
        <v>64.8</v>
      </c>
      <c r="F5" s="14">
        <v>0</v>
      </c>
    </row>
    <row r="6">
      <c r="A6" s="6" t="inlineStr">
        <is>
          <t>GM</t>
        </is>
      </c>
      <c r="B6" s="4" t="inlineStr">
        <is>
          <t>Giằng móng</t>
        </is>
      </c>
      <c r="C6" s="6" t="inlineStr">
        <is>
          <t>m3</t>
        </is>
      </c>
      <c r="D6" s="36">
        <v>42.8</v>
      </c>
      <c r="E6" s="36">
        <v>42.8</v>
      </c>
      <c r="F6" s="14">
        <v>0</v>
      </c>
    </row>
  </sheetData>
  <hyperlinks>
    <hyperlink ref="H1" location="'Mục lục'!A218" display="← Mục lục"/>
  </hyperlinks>
  <pageMargins left="0.7" right="0.7" top="0.75" bottom="0.75" header="0.3" footer="0.3"/>
</worksheet>
</file>

<file path=docProps/app.xml><?xml version="1.0" encoding="utf-8"?>
<Properties xmlns="http://schemas.openxmlformats.org/officeDocument/2006/extended-properties">
  <Application>Microsoft Excel</Application>
  <Company>DVDAddin</Company>
</Properties>
</file>

<file path=docProps/core.xml><?xml version="1.0" encoding="utf-8"?>
<cp:coreProperties xmlns:cp="http://schemas.openxmlformats.org/package/2006/metadata/core-properties" xmlns:dc="http://purl.org/dc/elements/1.1/" xmlns:dcterms="http://purl.org/dc/terms/" xmlns:xsi="http://www.w3.org/2001/XMLSchema-instance">
  <dc:title>DVDAddin — File thực hành các lệnh</dc:title>
  <dc:creator>DVDAddin</dc:creator>
  <cp:lastModifiedBy>DVDAddin</cp:lastModifiedBy>
  <dcterms:created xsi:type="dcterms:W3CDTF">2026-10-09T00:00:00Z</dcterms:created>
  <dcterms:modified xsi:type="dcterms:W3CDTF">2026-10-09T00:00:00Z</dcterms:modified>
</cp:coreProperties>
</file>