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Index" sheetId="1" r:id="rId1"/>
    <sheet name="Gantt Chart" sheetId="2" r:id="rId2"/>
    <sheet name="Auto Calc" sheetId="3" r:id="rId3"/>
    <sheet name="Auto Draw" sheetId="4" r:id="rId4"/>
    <sheet name="Update schedule (data date)" sheetId="5" r:id="rId5"/>
    <sheet name="Update Status" sheetId="6" r:id="rId6"/>
    <sheet name="Constraints" sheetId="7" r:id="rId7"/>
    <sheet name="Header Language" sheetId="8" r:id="rId8"/>
    <sheet name="Export XML (P6-MSP)" sheetId="9" r:id="rId9"/>
    <sheet name="AI Gantt Builder" sheetId="10" r:id="rId10"/>
    <sheet name="Schedule Recovery" sheetId="11" r:id="rId11"/>
    <sheet name="Health Check" sheetId="12" r:id="rId12"/>
    <sheet name="EVM Report" sheetId="13" r:id="rId13"/>
    <sheet name="Variance Dashboard" sheetId="14" r:id="rId14"/>
    <sheet name="2-Week Lookahead" sheetId="15" r:id="rId15"/>
    <sheet name="3-Week Lookahead" sheetId="16" r:id="rId16"/>
    <sheet name="Schedule (custom range)" sheetId="17" r:id="rId17"/>
    <sheet name="Snapshot" sheetId="18" r:id="rId18"/>
    <sheet name="Manpower" sheetId="19" r:id="rId19"/>
    <sheet name="Level resources" sheetId="20" r:id="rId20"/>
    <sheet name="Cash-flow" sheetId="21" r:id="rId21"/>
    <sheet name="Rebar Cut" sheetId="22" r:id="rId22"/>
    <sheet name="Bar schedule" sheetId="23" r:id="rId23"/>
    <sheet name="Bar Cut 1D" sheetId="24" r:id="rId24"/>
    <sheet name="Bar Cut 1D · CatThanh_Thanh" sheetId="25" r:id="rId25"/>
    <sheet name="Panel Cut 2D" sheetId="26" r:id="rId26"/>
    <sheet name="Panel Cut 2D · CatTam_Tam" sheetId="27" r:id="rId27"/>
    <sheet name="Cutting Tpl" sheetId="28" r:id="rId28"/>
    <sheet name="Bar Tpl" sheetId="29" r:id="rId29"/>
    <sheet name="Panel Tpl" sheetId="30" r:id="rId30"/>
    <sheet name="New Diary" sheetId="31" r:id="rId31"/>
    <sheet name="Export Category" sheetId="32" r:id="rId32"/>
    <sheet name="Pick Rest Days" sheetId="33" r:id="rId33"/>
    <sheet name="Work Record Tpl" sheetId="34" r:id="rId34"/>
    <sheet name="Material Record Tpl" sheetId="35" r:id="rId35"/>
    <sheet name="Diary Template" sheetId="36" r:id="rId36"/>
    <sheet name="DATA" sheetId="37" r:id="rId37"/>
    <sheet name="Test Plan" sheetId="38" r:id="rId38"/>
    <sheet name="Acceptance Plan" sheetId="39" r:id="rId39"/>
    <sheet name="Acceptance Record" sheetId="40" r:id="rId40"/>
    <sheet name="AI Construction Estimate" sheetId="41" r:id="rId41"/>
    <sheet name="Interim Payment" sheetId="42" r:id="rId42"/>
    <sheet name="Compare BoQ" sheetId="43" r:id="rId43"/>
    <sheet name="Price adjustment" sheetId="44" r:id="rId44"/>
    <sheet name="Estimate bridge" sheetId="45" r:id="rId45"/>
    <sheet name="Data query" sheetId="46" r:id="rId46"/>
    <sheet name="Variation Register" sheetId="47" r:id="rId47"/>
    <sheet name="Send Format" sheetId="48" r:id="rId48"/>
    <sheet name="Numbering" sheetId="49" r:id="rId49"/>
    <sheet name="Roman" sheetId="50" r:id="rId50"/>
    <sheet name="Upper letters" sheetId="51" r:id="rId51"/>
    <sheet name="Lower letters" sheetId="52" r:id="rId52"/>
    <sheet name="Assign Level" sheetId="53" r:id="rId53"/>
    <sheet name="Filled circle" sheetId="54" r:id="rId54"/>
    <sheet name="Filled star" sheetId="55" r:id="rId55"/>
    <sheet name="Minus" sheetId="56" r:id="rId56"/>
    <sheet name="Filled diamond" sheetId="57" r:id="rId57"/>
    <sheet name="Plus" sheetId="58" r:id="rId58"/>
    <sheet name="Asterisk" sheetId="59" r:id="rId59"/>
    <sheet name="Checkbox" sheetId="60" r:id="rId60"/>
    <sheet name="Checked" sheetId="61" r:id="rId61"/>
    <sheet name="Rejected" sheetId="62" r:id="rId62"/>
    <sheet name="Remove bullets" sheetId="63" r:id="rId63"/>
    <sheet name="Number list" sheetId="64" r:id="rId64"/>
    <sheet name="Roman list" sheetId="65" r:id="rId65"/>
    <sheet name="Upper letters list" sheetId="66" r:id="rId66"/>
    <sheet name="Lower letters list" sheetId="67" r:id="rId67"/>
    <sheet name="Remove list numbering" sheetId="68" r:id="rId68"/>
    <sheet name="Multilevel 1.1.1" sheetId="69" r:id="rId69"/>
    <sheet name="Remove multilevel numbering" sheetId="70" r:id="rId70"/>
    <sheet name="Sentence case" sheetId="71" r:id="rId71"/>
    <sheet name="UPPERCASE" sheetId="72" r:id="rId72"/>
    <sheet name="lowercase" sheetId="73" r:id="rId73"/>
    <sheet name="Proper Case" sheetId="74" r:id="rId74"/>
    <sheet name="SMART case (AI)" sheetId="75" r:id="rId75"/>
    <sheet name="Italic" sheetId="76" r:id="rId76"/>
    <sheet name="Text Reverse" sheetId="77" r:id="rId77"/>
    <sheet name="Font Change" sheetId="78" r:id="rId78"/>
    <sheet name="Remove extra spaces" sheetId="79" r:id="rId79"/>
    <sheet name="Add text" sheetId="80" r:id="rId80"/>
    <sheet name="Remove accents" sheetId="81" r:id="rId81"/>
    <sheet name="Add accents (AI)" sheetId="82" r:id="rId82"/>
    <sheet name="Auto format" sheetId="83" r:id="rId83"/>
    <sheet name="Superscript" sheetId="84" r:id="rId84"/>
    <sheet name="Subscript" sheetId="85" r:id="rId85"/>
    <sheet name="Bulk find - replace…" sheetId="86" r:id="rId86"/>
    <sheet name="Smart Data Cleaning…" sheetId="87" r:id="rId87"/>
    <sheet name="Encoding" sheetId="88" r:id="rId88"/>
    <sheet name="To Unicode" sheetId="89" r:id="rId89"/>
    <sheet name="To VNI" sheetId="90" r:id="rId90"/>
    <sheet name="To TCVN3" sheetId="91" r:id="rId91"/>
    <sheet name="Translate" sheetId="92" r:id="rId92"/>
    <sheet name="Quick Input" sheetId="93" r:id="rId93"/>
    <sheet name="Auto-suggest on cell select" sheetId="94" r:id="rId94"/>
    <sheet name="Configure source ranges…" sheetId="95" r:id="rId95"/>
    <sheet name="Insert Rows" sheetId="96" r:id="rId96"/>
    <sheet name="Insert Columns" sheetId="97" r:id="rId97"/>
    <sheet name="Insert and Copy" sheetId="98" r:id="rId98"/>
    <sheet name="Delete blanks" sheetId="99" r:id="rId99"/>
    <sheet name="Delete hidden rows" sheetId="100" r:id="rId100"/>
    <sheet name="Delete unused formats" sheetId="101" r:id="rId101"/>
    <sheet name="Merge keep data" sheetId="102" r:id="rId102"/>
    <sheet name="Merge similar" sheetId="103" r:id="rId103"/>
    <sheet name="Merge rows by key" sheetId="104" r:id="rId104"/>
    <sheet name="Auto group" sheetId="105" r:id="rId105"/>
    <sheet name="AutoFit merged" sheetId="106" r:id="rId106"/>
    <sheet name="Select visible" sheetId="107" r:id="rId107"/>
    <sheet name="Copy-Paste visible" sheetId="108" r:id="rId108"/>
    <sheet name="Join Text" sheetId="109" r:id="rId109"/>
    <sheet name="Join Merged" sheetId="110" r:id="rId110"/>
    <sheet name="Formula View" sheetId="111" r:id="rId111"/>
    <sheet name="KL Tang 4" sheetId="112" r:id="rId112"/>
    <sheet name="KL Tang 5" sheetId="113" r:id="rId113"/>
    <sheet name="Lookup Trace" sheetId="114" r:id="rId114"/>
    <sheet name="RATES" sheetId="115" r:id="rId115"/>
    <sheet name="Dependents" sheetId="116" r:id="rId116"/>
    <sheet name="Autosum" sheetId="117" r:id="rId117"/>
    <sheet name="Fill Results" sheetId="118" r:id="rId118"/>
    <sheet name="Direct Ref" sheetId="119" r:id="rId119"/>
    <sheet name="DON GIA" sheetId="120" r:id="rId120"/>
    <sheet name="Rounding Func" sheetId="121" r:id="rId121"/>
    <sheet name="Lock Ref" sheetId="122" r:id="rId122"/>
    <sheet name="BANGTHEP" sheetId="123" r:id="rId123"/>
    <sheet name="Error Check" sheetId="124" r:id="rId124"/>
    <sheet name="Color Shapes" sheetId="125" r:id="rId125"/>
    <sheet name="Color Rects" sheetId="126" r:id="rId126"/>
    <sheet name="List Shapes" sheetId="127" r:id="rId127"/>
    <sheet name="Rename Shapes" sheetId="128" r:id="rId128"/>
    <sheet name="Get Position" sheetId="129" r:id="rId129"/>
    <sheet name="Linked Labels" sheetId="130" r:id="rId130"/>
    <sheet name="Plan progress" sheetId="131" r:id="rId131"/>
    <sheet name="Get Color Code" sheetId="132" r:id="rId132"/>
    <sheet name="Auto Click" sheetId="133" r:id="rId133"/>
    <sheet name="Pictures" sheetId="134" r:id="rId134"/>
    <sheet name="Insert by Name" sheetId="135" r:id="rId135"/>
    <sheet name="Pic Comment" sheetId="136" r:id="rId136"/>
    <sheet name="Comment by Name" sheetId="137" r:id="rId137"/>
    <sheet name="Move-Resize" sheetId="138" r:id="rId138"/>
    <sheet name="Capture and Annotate" sheetId="139" r:id="rId139"/>
    <sheet name="Polygon Cloud" sheetId="140" r:id="rId140"/>
    <sheet name="Cloud Around Selection" sheetId="141" r:id="rId141"/>
    <sheet name="File List" sheetId="142" r:id="rId142"/>
    <sheet name="Split table" sheetId="143" r:id="rId143"/>
    <sheet name="Compare sheets" sheetId="144" r:id="rId144"/>
    <sheet name="Merge tables" sheetId="145" r:id="rId145"/>
    <sheet name="Rates (2)" sheetId="146" r:id="rId146"/>
    <sheet name="Rename Files" sheetId="147" r:id="rId147"/>
    <sheet name="Create Hyperlink" sheetId="148" r:id="rId148"/>
    <sheet name="Create Folder" sheetId="149" r:id="rId149"/>
    <sheet name="Transcribe Audio" sheetId="150" r:id="rId150"/>
    <sheet name="OCR file" sheetId="151" r:id="rId151"/>
    <sheet name="Extract Table" sheetId="152" r:id="rId152"/>
    <sheet name="OCR Screen Clip" sheetId="153" r:id="rId153"/>
    <sheet name="Batch print" sheetId="154" r:id="rId154"/>
    <sheet name="Set page margins" sheetId="155" r:id="rId155"/>
    <sheet name="Sheets → PDF" sheetId="156" r:id="rId156"/>
    <sheet name="Send Email" sheetId="157" r:id="rId157"/>
    <sheet name="Email Template" sheetId="158" r:id="rId158"/>
    <sheet name="Merge to Word" sheetId="159" r:id="rId159"/>
    <sheet name="Create Title" sheetId="160" r:id="rId160"/>
    <sheet name="Reading Layout" sheetId="161" r:id="rId161"/>
    <sheet name="Sheet List" sheetId="162" r:id="rId162"/>
    <sheet name="Rename Sheets" sheetId="163" r:id="rId163"/>
    <sheet name="Sheet Numbering" sheetId="164" r:id="rId164"/>
    <sheet name="UnDiacritics" sheetId="165" r:id="rId165"/>
    <sheet name="Khối lượng móng" sheetId="166" r:id="rId166"/>
    <sheet name="Đài móng - Cọc" sheetId="167" r:id="rId167"/>
    <sheet name="Nghiệm thu thép" sheetId="168" r:id="rId168"/>
    <sheet name="Phụ lục 01" sheetId="169" r:id="rId169"/>
    <sheet name="Hide Unselected" sheetId="170" r:id="rId170"/>
    <sheet name="KL-Mong" sheetId="171" r:id="rId171"/>
    <sheet name="KL-Than" sheetId="172" r:id="rId172"/>
    <sheet name="DonGia-NoiBo" sheetId="173" r:id="rId173"/>
    <sheet name="Chietinh" sheetId="174" r:id="rId174"/>
    <sheet name="Phuluc" sheetId="175" r:id="rId175"/>
    <sheet name="Nhap1" sheetId="176" r:id="rId176"/>
    <sheet name="Unhide All" sheetId="177" r:id="rId177"/>
    <sheet name="Chietinh-VT" sheetId="178" state="hidden" r:id="rId178"/>
    <sheet name="Giavatlieu" sheetId="179" state="hidden" r:id="rId179"/>
    <sheet name="DonGia-CT" sheetId="180" state="hidden" r:id="rId180"/>
    <sheet name="KL" sheetId="181" r:id="rId181"/>
    <sheet name="Phuluc (2)" sheetId="182" r:id="rId182"/>
    <sheet name="View Image" sheetId="183" r:id="rId183"/>
    <sheet name="Hide Empty Rows" sheetId="184" r:id="rId184"/>
    <sheet name="Explain formula (Coach)" sheetId="185" r:id="rId185"/>
    <sheet name="Pour log" sheetId="186" r:id="rId186"/>
    <sheet name="Fix formula error" sheetId="187" r:id="rId187"/>
    <sheet name="DonGia" sheetId="188" r:id="rId188"/>
    <sheet name="Grammar" sheetId="189" r:id="rId189"/>
    <sheet name="Solver" sheetId="190" r:id="rId190"/>
    <sheet name="DVD Chat" sheetId="191" r:id="rId191"/>
  </sheets>
  <definedNames>
    <definedName name="MaCV">'Pour log'!$B$4:$B$10</definedName>
    <definedName name="Thang">'Pour log'!$C$4:$C$10</definedName>
    <definedName name="KhoiLuong">'Pour log'!$D$4:$D$10</definedName>
  </definedNames>
  <calcPr calcId="191029" fullCalcOnLoad="1"/>
</workbook>
</file>

<file path=xl/styles.xml><?xml version="1.0" encoding="utf-8"?>
<styleSheet xmlns="http://schemas.openxmlformats.org/spreadsheetml/2006/main">
  <numFmts count="9">
    <numFmt numFmtId="164" formatCode="dd/mm/yyyy"/>
    <numFmt numFmtId="165" formatCode="#,##0.00"/>
    <numFmt numFmtId="166" formatCode="#,##0"/>
    <numFmt numFmtId="167" formatCode="#,##0.0"/>
    <numFmt numFmtId="168" formatCode="#,##0.0000"/>
    <numFmt numFmtId="169" formatCode="#,##0.00000"/>
    <numFmt numFmtId="170" formatCode="#,##0.000"/>
    <numFmt numFmtId="171" formatCode="0.0%"/>
    <numFmt numFmtId="172" formatCode="dd-mmm-yyyy"/>
  </numFmts>
  <fonts count="19">
    <font>
      <sz val="11"/>
      <name val="Calibri"/>
      <family val="2"/>
    </font>
    <font>
      <b/>
      <sz val="11"/>
      <name val="Calibri"/>
      <family val="2"/>
    </font>
    <font>
      <sz val="11"/>
      <color rgb="FF4CC94C"/>
      <name val="Calibri"/>
      <family val="2"/>
    </font>
    <font>
      <sz val="11"/>
      <color rgb="FF000000"/>
      <name val="Calibri"/>
      <family val="2"/>
    </font>
    <font>
      <b/>
      <sz val="11"/>
      <color rgb="FFFFFFFF"/>
      <name val="Calibri"/>
      <family val="2"/>
    </font>
    <font>
      <b/>
      <sz val="11"/>
      <color rgb="FFC02A2C"/>
      <name val="Calibri"/>
      <family val="2"/>
    </font>
    <font>
      <sz val="11"/>
      <color rgb="FFC02A2C"/>
      <name val="Calibri"/>
      <family val="2"/>
    </font>
    <font>
      <i/>
      <sz val="11"/>
      <name val="Calibri"/>
      <family val="2"/>
    </font>
    <font>
      <sz val="11"/>
      <color rgb="FF0563C1"/>
      <name val="Calibri"/>
      <family val="2"/>
    </font>
    <font>
      <i/>
      <sz val="11"/>
      <color rgb="FF595959"/>
      <name val="Calibri"/>
      <family val="2"/>
    </font>
    <font>
      <sz val="11"/>
      <color rgb="FF1F3864"/>
      <name val="Calibri"/>
      <family val="2"/>
    </font>
    <font>
      <i/>
      <sz val="11"/>
      <color rgb="FFC65911"/>
      <name val="Calibri"/>
      <family val="2"/>
    </font>
    <font>
      <b/>
      <sz val="11"/>
      <color rgb="FF595959"/>
      <name val="Calibri"/>
      <family val="2"/>
    </font>
    <font>
      <i/>
      <sz val="11"/>
      <color rgb="FF7F7F7F"/>
      <name val="Calibri"/>
      <family val="2"/>
    </font>
    <font>
      <b/>
      <sz val="11"/>
      <color rgb="FFC00000"/>
      <name val="Calibri"/>
      <family val="2"/>
    </font>
    <font>
      <b/>
      <sz val="14"/>
      <color rgb="FF1F4E79"/>
      <name val="Calibri"/>
      <family val="2"/>
    </font>
    <font>
      <u/>
      <sz val="11"/>
      <color rgb="FF0563C1"/>
      <name val="Calibri"/>
      <family val="2"/>
    </font>
    <font>
      <sz val="11"/>
      <color rgb="FF808080"/>
      <name val="Calibri"/>
      <family val="2"/>
    </font>
    <font>
      <b/>
      <u/>
      <sz val="11"/>
      <color rgb="FF0563C1"/>
      <name val="Calibri"/>
      <family val="2"/>
    </font>
  </fonts>
  <fills count="27">
    <fill>
      <patternFill patternType="none"/>
    </fill>
    <fill>
      <patternFill patternType="gray125"/>
    </fill>
    <fill>
      <patternFill patternType="solid">
        <fgColor rgb="FFDDEBF7"/>
        <bgColor indexed="64"/>
      </patternFill>
    </fill>
    <fill>
      <patternFill patternType="solid">
        <fgColor rgb="FFDDE6F0"/>
        <bgColor indexed="64"/>
      </patternFill>
    </fill>
    <fill>
      <patternFill patternType="solid">
        <fgColor rgb="FF30527A"/>
        <bgColor indexed="64"/>
      </patternFill>
    </fill>
    <fill>
      <patternFill patternType="solid">
        <fgColor rgb="FF144270"/>
        <bgColor indexed="64"/>
      </patternFill>
    </fill>
    <fill>
      <patternFill patternType="solid">
        <fgColor rgb="FFFFF4E8"/>
        <bgColor indexed="64"/>
      </patternFill>
    </fill>
    <fill>
      <patternFill patternType="solid">
        <fgColor rgb="FFFFF2CC"/>
        <bgColor indexed="64"/>
      </patternFill>
    </fill>
    <fill>
      <patternFill patternType="solid">
        <fgColor rgb="FFD9E2F3"/>
        <bgColor indexed="64"/>
      </patternFill>
    </fill>
    <fill>
      <patternFill patternType="solid">
        <fgColor rgb="FFFFFFCC"/>
        <bgColor indexed="64"/>
      </patternFill>
    </fill>
    <fill>
      <patternFill patternType="solid">
        <fgColor rgb="FFF2F2F2"/>
        <bgColor indexed="64"/>
      </patternFill>
    </fill>
    <fill>
      <patternFill patternType="solid">
        <fgColor rgb="FFD9D9D9"/>
        <bgColor indexed="64"/>
      </patternFill>
    </fill>
    <fill>
      <patternFill patternType="solid">
        <fgColor rgb="FFF8CBAD"/>
        <bgColor indexed="64"/>
      </patternFill>
    </fill>
    <fill>
      <patternFill patternType="solid">
        <fgColor rgb="FFFFE699"/>
        <bgColor indexed="64"/>
      </patternFill>
    </fill>
    <fill>
      <patternFill patternType="solid">
        <fgColor rgb="FFC6E0B4"/>
        <bgColor indexed="64"/>
      </patternFill>
    </fill>
    <fill>
      <patternFill patternType="solid">
        <fgColor rgb="FFE2EFDA"/>
        <bgColor indexed="64"/>
      </patternFill>
    </fill>
    <fill>
      <patternFill patternType="solid">
        <fgColor rgb="FFD9E6F2"/>
        <bgColor indexed="64"/>
      </patternFill>
    </fill>
    <fill>
      <patternFill patternType="solid">
        <fgColor rgb="FFFFC000"/>
        <bgColor indexed="64"/>
      </patternFill>
    </fill>
    <fill>
      <patternFill patternType="solid">
        <fgColor rgb="FF00B050"/>
        <bgColor indexed="64"/>
      </patternFill>
    </fill>
    <fill>
      <patternFill patternType="solid">
        <fgColor rgb="FF0070C0"/>
        <bgColor indexed="64"/>
      </patternFill>
    </fill>
    <fill>
      <patternFill patternType="solid">
        <fgColor rgb="FFFFFF00"/>
        <bgColor indexed="64"/>
      </patternFill>
    </fill>
    <fill>
      <patternFill patternType="solid">
        <fgColor rgb="FFA9BFD8"/>
        <bgColor indexed="64"/>
      </patternFill>
    </fill>
    <fill>
      <patternFill patternType="solid">
        <fgColor rgb="FFFCE4D6"/>
        <bgColor indexed="64"/>
      </patternFill>
    </fill>
    <fill>
      <patternFill patternType="solid">
        <fgColor rgb="FFE3EFE7"/>
        <bgColor indexed="64"/>
      </patternFill>
    </fill>
    <fill>
      <patternFill patternType="solid">
        <fgColor rgb="FF80FFFF"/>
        <bgColor indexed="64"/>
      </patternFill>
    </fill>
    <fill>
      <patternFill patternType="solid">
        <fgColor rgb="FF6FF5FB"/>
        <bgColor indexed="64"/>
      </patternFill>
    </fill>
    <fill>
      <patternFill patternType="solid">
        <fgColor rgb="FFEDEDED"/>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07">
    <xf numFmtId="0" fontId="0" fillId="0" borderId="0" xfId="0"/>
    <xf numFmtId="0" fontId="1" fillId="0" borderId="0" xfId="0" applyFont="1"/>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0" fillId="0" borderId="1" xfId="0" applyBorder="1"/>
    <xf numFmtId="164" fontId="0" fillId="0" borderId="1" xfId="0" applyNumberFormat="1" applyBorder="1" applyAlignment="1">
      <alignment horizontal="center"/>
    </xf>
    <xf numFmtId="0" fontId="0" fillId="0" borderId="1" xfId="0" applyBorder="1" applyAlignment="1">
      <alignment horizontal="center"/>
    </xf>
    <xf numFmtId="0" fontId="0" fillId="2" borderId="1" xfId="0" applyFill="1" applyBorder="1" applyAlignment="1">
      <alignment horizontal="center"/>
    </xf>
    <xf numFmtId="0" fontId="2" fillId="0" borderId="0" xfId="0" applyFont="1"/>
    <xf numFmtId="0" fontId="3" fillId="0" borderId="0" xfId="0" applyFont="1"/>
    <xf numFmtId="9" fontId="0" fillId="0" borderId="1" xfId="0" applyNumberFormat="1" applyBorder="1" applyAlignment="1">
      <alignment horizontal="center"/>
    </xf>
    <xf numFmtId="165" fontId="0" fillId="0" borderId="1" xfId="0" applyNumberFormat="1" applyBorder="1"/>
    <xf numFmtId="164" fontId="0" fillId="0" borderId="1" xfId="0" applyNumberFormat="1" applyBorder="1" applyAlignment="1">
      <alignment horizontal="right"/>
    </xf>
    <xf numFmtId="9" fontId="0" fillId="0" borderId="1" xfId="0" applyNumberFormat="1" applyBorder="1" applyAlignment="1">
      <alignment horizontal="right"/>
    </xf>
    <xf numFmtId="0" fontId="0" fillId="0" borderId="1" xfId="0" applyBorder="1" applyAlignment="1">
      <alignment horizontal="right"/>
    </xf>
    <xf numFmtId="166" fontId="0" fillId="0" borderId="1" xfId="0" applyNumberFormat="1" applyBorder="1" applyAlignment="1">
      <alignment horizontal="right"/>
    </xf>
    <xf numFmtId="0" fontId="1" fillId="3" borderId="1" xfId="0" applyFont="1" applyFill="1" applyBorder="1" applyAlignment="1">
      <alignment horizontal="center" wrapText="1"/>
    </xf>
    <xf numFmtId="0" fontId="4" fillId="4" borderId="0" xfId="0" applyFont="1" applyFill="1"/>
    <xf numFmtId="0" fontId="0" fillId="0" borderId="0" xfId="0"/>
    <xf numFmtId="0" fontId="4" fillId="5" borderId="0" xfId="0" applyFont="1" applyFill="1" applyAlignment="1">
      <alignment horizontal="center"/>
    </xf>
    <xf numFmtId="0" fontId="5" fillId="0" borderId="0" xfId="0" applyFont="1"/>
    <xf numFmtId="0" fontId="6" fillId="0" borderId="0" xfId="0" applyFont="1" applyAlignment="1">
      <alignment wrapText="1"/>
    </xf>
    <xf numFmtId="0" fontId="0" fillId="6" borderId="0" xfId="0" applyFill="1"/>
    <xf numFmtId="0" fontId="7" fillId="0" borderId="0" xfId="0" applyFont="1" applyAlignment="1">
      <alignment horizontal="right"/>
    </xf>
    <xf numFmtId="164" fontId="0" fillId="7" borderId="0" xfId="0" applyNumberFormat="1" applyFill="1" applyAlignment="1">
      <alignment horizontal="right"/>
    </xf>
    <xf numFmtId="0" fontId="1" fillId="0" borderId="1" xfId="0" applyFont="1" applyBorder="1"/>
    <xf numFmtId="0" fontId="8" fillId="0" borderId="0" xfId="0" applyFont="1"/>
    <xf numFmtId="0" fontId="0" fillId="0" borderId="1" xfId="0" applyBorder="1" applyAlignment="1">
      <alignment horizontal="left"/>
    </xf>
    <xf numFmtId="164" fontId="0" fillId="0" borderId="1" xfId="0" applyNumberFormat="1" applyBorder="1" applyAlignment="1">
      <alignment horizontal="left"/>
    </xf>
    <xf numFmtId="0" fontId="1" fillId="0" borderId="0" xfId="0" applyFont="1" applyAlignment="1">
      <alignment horizontal="center"/>
    </xf>
    <xf numFmtId="0" fontId="7" fillId="0" borderId="0" xfId="0" applyFont="1" applyAlignment="1">
      <alignment horizontal="center"/>
    </xf>
    <xf numFmtId="0" fontId="1" fillId="0" borderId="1" xfId="0" applyFont="1" applyBorder="1" applyAlignment="1">
      <alignment horizontal="center"/>
    </xf>
    <xf numFmtId="167" fontId="0" fillId="0" borderId="1" xfId="0" applyNumberFormat="1" applyBorder="1"/>
    <xf numFmtId="166" fontId="0" fillId="0" borderId="1" xfId="0" applyNumberFormat="1" applyBorder="1"/>
    <xf numFmtId="0" fontId="1" fillId="8" borderId="1" xfId="0" applyFont="1" applyFill="1" applyBorder="1" applyAlignment="1">
      <alignment wrapText="1"/>
    </xf>
    <xf numFmtId="0" fontId="0" fillId="9" borderId="1" xfId="0" applyFill="1" applyBorder="1"/>
    <xf numFmtId="167" fontId="0" fillId="0" borderId="1" xfId="0" applyNumberFormat="1" applyBorder="1" applyAlignment="1">
      <alignment horizontal="right"/>
    </xf>
    <xf numFmtId="165" fontId="0" fillId="0" borderId="1" xfId="0" applyNumberFormat="1" applyBorder="1" applyAlignment="1">
      <alignment horizontal="right"/>
    </xf>
    <xf numFmtId="0" fontId="1" fillId="10" borderId="1" xfId="0" applyFont="1" applyFill="1" applyBorder="1" applyAlignment="1">
      <alignment horizontal="center" wrapText="1"/>
    </xf>
    <xf numFmtId="166" fontId="1" fillId="0" borderId="1" xfId="0" applyNumberFormat="1" applyFont="1" applyBorder="1" applyAlignment="1">
      <alignment horizontal="right"/>
    </xf>
    <xf numFmtId="0" fontId="1" fillId="11" borderId="1" xfId="0" applyFont="1" applyFill="1" applyBorder="1" applyAlignment="1">
      <alignment horizontal="center"/>
    </xf>
    <xf numFmtId="0" fontId="0" fillId="12" borderId="1" xfId="0" applyFill="1" applyBorder="1" applyAlignment="1">
      <alignment horizontal="center"/>
    </xf>
    <xf numFmtId="0" fontId="0" fillId="13" borderId="1" xfId="0" applyFill="1" applyBorder="1" applyAlignment="1">
      <alignment horizontal="center"/>
    </xf>
    <xf numFmtId="0" fontId="0" fillId="14" borderId="1" xfId="0" applyFill="1" applyBorder="1" applyAlignment="1">
      <alignment horizontal="center"/>
    </xf>
    <xf numFmtId="0" fontId="1" fillId="12" borderId="1" xfId="0" applyFont="1" applyFill="1" applyBorder="1"/>
    <xf numFmtId="0" fontId="0" fillId="13" borderId="1" xfId="0" applyFill="1" applyBorder="1"/>
    <xf numFmtId="0" fontId="0" fillId="14" borderId="1" xfId="0" applyFill="1" applyBorder="1"/>
    <xf numFmtId="0" fontId="0" fillId="0" borderId="1" xfId="0" applyBorder="1" applyAlignment="1">
      <alignment wrapText="1"/>
    </xf>
    <xf numFmtId="0" fontId="7" fillId="0" borderId="0" xfId="0" applyFont="1"/>
    <xf numFmtId="166" fontId="1" fillId="0" borderId="1" xfId="0" applyNumberFormat="1" applyFont="1" applyBorder="1"/>
    <xf numFmtId="0" fontId="0" fillId="0" borderId="0" xfId="0" applyAlignment="1">
      <alignment wrapText="1"/>
    </xf>
    <xf numFmtId="0" fontId="0" fillId="0" borderId="1" xfId="0" applyBorder="1" applyAlignment="1">
      <alignment horizontal="left" indent="1"/>
    </xf>
    <xf numFmtId="0" fontId="0" fillId="0" borderId="1" xfId="0" applyBorder="1" applyAlignment="1">
      <alignment horizontal="left" indent="2"/>
    </xf>
    <xf numFmtId="0" fontId="9" fillId="0" borderId="1" xfId="0" applyFont="1" applyBorder="1"/>
    <xf numFmtId="0" fontId="0" fillId="7" borderId="0" xfId="0" applyFill="1"/>
    <xf numFmtId="164" fontId="0" fillId="0" borderId="1" xfId="0" applyNumberFormat="1" applyBorder="1"/>
    <xf numFmtId="0" fontId="1" fillId="15" borderId="1" xfId="0" applyFont="1" applyFill="1" applyBorder="1" applyAlignment="1">
      <alignment horizontal="center"/>
    </xf>
    <xf numFmtId="168" fontId="0" fillId="0" borderId="1" xfId="0" applyNumberFormat="1" applyBorder="1" applyAlignment="1">
      <alignment horizontal="right"/>
    </xf>
    <xf numFmtId="169" fontId="0" fillId="0" borderId="1" xfId="0" applyNumberFormat="1" applyBorder="1" applyAlignment="1">
      <alignment horizontal="right"/>
    </xf>
    <xf numFmtId="170" fontId="0" fillId="0" borderId="1" xfId="0" applyNumberFormat="1" applyBorder="1"/>
    <xf numFmtId="0" fontId="1" fillId="2" borderId="0" xfId="0" applyFont="1" applyFill="1" applyAlignment="1">
      <alignment horizontal="center"/>
    </xf>
    <xf numFmtId="164" fontId="0" fillId="0" borderId="0" xfId="0" applyNumberFormat="1" applyAlignment="1">
      <alignment horizontal="right"/>
    </xf>
    <xf numFmtId="0" fontId="1" fillId="16" borderId="1" xfId="0" applyFont="1" applyFill="1" applyBorder="1" applyAlignment="1">
      <alignment horizontal="center"/>
    </xf>
    <xf numFmtId="0" fontId="0" fillId="11" borderId="1" xfId="0" applyFill="1" applyBorder="1"/>
    <xf numFmtId="171" fontId="0" fillId="0" borderId="1" xfId="0" applyNumberFormat="1" applyBorder="1" applyAlignment="1">
      <alignment horizontal="right"/>
    </xf>
    <xf numFmtId="0" fontId="0" fillId="17" borderId="1" xfId="0" applyFill="1" applyBorder="1"/>
    <xf numFmtId="0" fontId="0" fillId="18" borderId="1" xfId="0" applyFill="1" applyBorder="1"/>
    <xf numFmtId="0" fontId="0" fillId="19" borderId="1" xfId="0" applyFill="1" applyBorder="1"/>
    <xf numFmtId="0" fontId="0" fillId="20" borderId="1" xfId="0" applyFill="1" applyBorder="1"/>
    <xf numFmtId="0" fontId="10" fillId="21" borderId="1" xfId="0" applyFont="1" applyFill="1" applyBorder="1" applyAlignment="1">
      <alignment horizontal="center"/>
    </xf>
    <xf numFmtId="0" fontId="10" fillId="21" borderId="0" xfId="0" applyFont="1" applyFill="1" applyAlignment="1">
      <alignment horizontal="center"/>
    </xf>
    <xf numFmtId="0" fontId="0" fillId="0" borderId="0" xfId="0" applyAlignment="1">
      <alignment horizontal="center"/>
    </xf>
    <xf numFmtId="0" fontId="0" fillId="22" borderId="0" xfId="0" applyFill="1"/>
    <xf numFmtId="0" fontId="11" fillId="0" borderId="0" xfId="0" applyFont="1"/>
    <xf numFmtId="0" fontId="12" fillId="0" borderId="1" xfId="0" applyFont="1" applyBorder="1" applyAlignment="1">
      <alignment horizontal="center"/>
    </xf>
    <xf numFmtId="0" fontId="0" fillId="23" borderId="1" xfId="0" applyFill="1" applyBorder="1" applyAlignment="1">
      <alignment horizontal="center"/>
    </xf>
    <xf numFmtId="0" fontId="0" fillId="23" borderId="1" xfId="0" applyFill="1" applyBorder="1"/>
    <xf numFmtId="167" fontId="0" fillId="23" borderId="1" xfId="0" applyNumberFormat="1" applyFill="1" applyBorder="1"/>
    <xf numFmtId="167" fontId="1" fillId="23" borderId="1" xfId="0" applyNumberFormat="1" applyFont="1" applyFill="1" applyBorder="1"/>
    <xf numFmtId="165" fontId="0" fillId="23" borderId="1" xfId="0" applyNumberFormat="1" applyFill="1" applyBorder="1"/>
    <xf numFmtId="165" fontId="1" fillId="23" borderId="1" xfId="0" applyNumberFormat="1" applyFont="1" applyFill="1" applyBorder="1"/>
    <xf numFmtId="0" fontId="1" fillId="22" borderId="1" xfId="0" applyFont="1" applyFill="1" applyBorder="1" applyAlignment="1">
      <alignment horizontal="center"/>
    </xf>
    <xf numFmtId="0" fontId="1" fillId="2" borderId="0" xfId="0" applyFont="1" applyFill="1"/>
    <xf numFmtId="0" fontId="9" fillId="0" borderId="0" xfId="0" applyFont="1"/>
    <xf numFmtId="0" fontId="1" fillId="2" borderId="1" xfId="0" applyFont="1" applyFill="1" applyBorder="1"/>
    <xf numFmtId="0" fontId="1" fillId="7" borderId="0" xfId="0" applyFont="1" applyFill="1" applyAlignment="1">
      <alignment horizontal="left"/>
    </xf>
    <xf numFmtId="0" fontId="0" fillId="15" borderId="0" xfId="0" applyFill="1"/>
    <xf numFmtId="0" fontId="1" fillId="7" borderId="0" xfId="0" applyFont="1" applyFill="1"/>
    <xf numFmtId="0" fontId="0" fillId="24" borderId="0" xfId="0" applyFill="1"/>
    <xf numFmtId="0" fontId="1" fillId="25" borderId="1" xfId="0" applyFont="1" applyFill="1" applyBorder="1" applyAlignment="1">
      <alignment horizontal="center"/>
    </xf>
    <xf numFmtId="166" fontId="0" fillId="24" borderId="1" xfId="0" applyNumberFormat="1" applyFill="1" applyBorder="1"/>
    <xf numFmtId="0" fontId="0" fillId="24" borderId="1" xfId="0" applyFill="1" applyBorder="1" applyAlignment="1">
      <alignment horizontal="center"/>
    </xf>
    <xf numFmtId="0" fontId="0" fillId="24" borderId="1" xfId="0" applyFill="1" applyBorder="1"/>
    <xf numFmtId="165" fontId="0" fillId="24" borderId="1" xfId="0" applyNumberFormat="1" applyFill="1" applyBorder="1"/>
    <xf numFmtId="167" fontId="1" fillId="0" borderId="0" xfId="0" applyNumberFormat="1" applyFont="1"/>
    <xf numFmtId="166" fontId="1" fillId="0" borderId="0" xfId="0" applyNumberFormat="1" applyFont="1"/>
    <xf numFmtId="0" fontId="13" fillId="26" borderId="1" xfId="0" applyFont="1" applyFill="1" applyBorder="1" applyAlignment="1">
      <alignment horizontal="center"/>
    </xf>
    <xf numFmtId="172" fontId="0" fillId="0" borderId="1" xfId="0" applyNumberFormat="1" applyBorder="1" applyAlignment="1">
      <alignment horizontal="center"/>
    </xf>
    <xf numFmtId="0" fontId="14" fillId="0" borderId="1" xfId="0" applyFont="1" applyBorder="1" applyAlignment="1">
      <alignment horizontal="right"/>
    </xf>
    <xf numFmtId="0" fontId="15" fillId="0" borderId="0" xfId="0" applyFont="1"/>
    <xf numFmtId="0" fontId="9" fillId="0" borderId="0" xfId="0" applyFont="1" applyAlignment="1">
      <alignment wrapText="1"/>
    </xf>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0" fillId="0" borderId="1" xfId="0" applyBorder="1" applyAlignment="1">
      <alignment horizontal="center" vertical="top"/>
    </xf>
    <xf numFmtId="0" fontId="16" fillId="0" borderId="1" xfId="0" applyFont="1" applyBorder="1" applyAlignment="1">
      <alignment vertical="top" wrapText="1"/>
    </xf>
    <xf numFmtId="0" fontId="17" fillId="0" borderId="1" xfId="0" applyFont="1" applyBorder="1" applyAlignment="1">
      <alignment vertical="top" wrapText="1"/>
    </xf>
    <xf numFmtId="0" fontId="18"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worksheet" Target="worksheets/sheet150.xml"/><Relationship Id="rId151" Type="http://schemas.openxmlformats.org/officeDocument/2006/relationships/worksheet" Target="worksheets/sheet151.xml"/><Relationship Id="rId152" Type="http://schemas.openxmlformats.org/officeDocument/2006/relationships/worksheet" Target="worksheets/sheet152.xml"/><Relationship Id="rId153" Type="http://schemas.openxmlformats.org/officeDocument/2006/relationships/worksheet" Target="worksheets/sheet153.xml"/><Relationship Id="rId154" Type="http://schemas.openxmlformats.org/officeDocument/2006/relationships/worksheet" Target="worksheets/sheet154.xml"/><Relationship Id="rId155" Type="http://schemas.openxmlformats.org/officeDocument/2006/relationships/worksheet" Target="worksheets/sheet155.xml"/><Relationship Id="rId156" Type="http://schemas.openxmlformats.org/officeDocument/2006/relationships/worksheet" Target="worksheets/sheet156.xml"/><Relationship Id="rId157" Type="http://schemas.openxmlformats.org/officeDocument/2006/relationships/worksheet" Target="worksheets/sheet157.xml"/><Relationship Id="rId158" Type="http://schemas.openxmlformats.org/officeDocument/2006/relationships/worksheet" Target="worksheets/sheet158.xml"/><Relationship Id="rId159" Type="http://schemas.openxmlformats.org/officeDocument/2006/relationships/worksheet" Target="worksheets/sheet159.xml"/><Relationship Id="rId160" Type="http://schemas.openxmlformats.org/officeDocument/2006/relationships/worksheet" Target="worksheets/sheet160.xml"/><Relationship Id="rId161" Type="http://schemas.openxmlformats.org/officeDocument/2006/relationships/worksheet" Target="worksheets/sheet161.xml"/><Relationship Id="rId162" Type="http://schemas.openxmlformats.org/officeDocument/2006/relationships/worksheet" Target="worksheets/sheet162.xml"/><Relationship Id="rId163" Type="http://schemas.openxmlformats.org/officeDocument/2006/relationships/worksheet" Target="worksheets/sheet163.xml"/><Relationship Id="rId164" Type="http://schemas.openxmlformats.org/officeDocument/2006/relationships/worksheet" Target="worksheets/sheet164.xml"/><Relationship Id="rId165" Type="http://schemas.openxmlformats.org/officeDocument/2006/relationships/worksheet" Target="worksheets/sheet165.xml"/><Relationship Id="rId166" Type="http://schemas.openxmlformats.org/officeDocument/2006/relationships/worksheet" Target="worksheets/sheet166.xml"/><Relationship Id="rId167" Type="http://schemas.openxmlformats.org/officeDocument/2006/relationships/worksheet" Target="worksheets/sheet167.xml"/><Relationship Id="rId168" Type="http://schemas.openxmlformats.org/officeDocument/2006/relationships/worksheet" Target="worksheets/sheet168.xml"/><Relationship Id="rId169" Type="http://schemas.openxmlformats.org/officeDocument/2006/relationships/worksheet" Target="worksheets/sheet169.xml"/><Relationship Id="rId170" Type="http://schemas.openxmlformats.org/officeDocument/2006/relationships/worksheet" Target="worksheets/sheet170.xml"/><Relationship Id="rId171" Type="http://schemas.openxmlformats.org/officeDocument/2006/relationships/worksheet" Target="worksheets/sheet171.xml"/><Relationship Id="rId172" Type="http://schemas.openxmlformats.org/officeDocument/2006/relationships/worksheet" Target="worksheets/sheet172.xml"/><Relationship Id="rId173" Type="http://schemas.openxmlformats.org/officeDocument/2006/relationships/worksheet" Target="worksheets/sheet173.xml"/><Relationship Id="rId174" Type="http://schemas.openxmlformats.org/officeDocument/2006/relationships/worksheet" Target="worksheets/sheet174.xml"/><Relationship Id="rId175" Type="http://schemas.openxmlformats.org/officeDocument/2006/relationships/worksheet" Target="worksheets/sheet175.xml"/><Relationship Id="rId176" Type="http://schemas.openxmlformats.org/officeDocument/2006/relationships/worksheet" Target="worksheets/sheet176.xml"/><Relationship Id="rId177" Type="http://schemas.openxmlformats.org/officeDocument/2006/relationships/worksheet" Target="worksheets/sheet177.xml"/><Relationship Id="rId178" Type="http://schemas.openxmlformats.org/officeDocument/2006/relationships/worksheet" Target="worksheets/sheet178.xml"/><Relationship Id="rId179" Type="http://schemas.openxmlformats.org/officeDocument/2006/relationships/worksheet" Target="worksheets/sheet179.xml"/><Relationship Id="rId180" Type="http://schemas.openxmlformats.org/officeDocument/2006/relationships/worksheet" Target="worksheets/sheet180.xml"/><Relationship Id="rId181" Type="http://schemas.openxmlformats.org/officeDocument/2006/relationships/worksheet" Target="worksheets/sheet181.xml"/><Relationship Id="rId182" Type="http://schemas.openxmlformats.org/officeDocument/2006/relationships/worksheet" Target="worksheets/sheet182.xml"/><Relationship Id="rId183" Type="http://schemas.openxmlformats.org/officeDocument/2006/relationships/worksheet" Target="worksheets/sheet183.xml"/><Relationship Id="rId184" Type="http://schemas.openxmlformats.org/officeDocument/2006/relationships/worksheet" Target="worksheets/sheet184.xml"/><Relationship Id="rId185" Type="http://schemas.openxmlformats.org/officeDocument/2006/relationships/worksheet" Target="worksheets/sheet185.xml"/><Relationship Id="rId186" Type="http://schemas.openxmlformats.org/officeDocument/2006/relationships/worksheet" Target="worksheets/sheet186.xml"/><Relationship Id="rId187" Type="http://schemas.openxmlformats.org/officeDocument/2006/relationships/worksheet" Target="worksheets/sheet187.xml"/><Relationship Id="rId188" Type="http://schemas.openxmlformats.org/officeDocument/2006/relationships/worksheet" Target="worksheets/sheet188.xml"/><Relationship Id="rId189" Type="http://schemas.openxmlformats.org/officeDocument/2006/relationships/worksheet" Target="worksheets/sheet189.xml"/><Relationship Id="rId190" Type="http://schemas.openxmlformats.org/officeDocument/2006/relationships/worksheet" Target="worksheets/sheet190.xml"/><Relationship Id="rId191" Type="http://schemas.openxmlformats.org/officeDocument/2006/relationships/worksheet" Target="worksheets/sheet191.xml"/><Relationship Id="rId19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2C8A3E"/>
  </sheetPr>
  <dimension ref="A1:G228"/>
  <sheetViews>
    <sheetView workbookViewId="0" tabSelected="1">
      <selection activeCell="A5" sqref="A5"/>
    </sheetView>
  </sheetViews>
  <sheetFormatPr defaultRowHeight="15"/>
  <cols>
    <col min="1" max="1" width="6.00" customWidth="1"/>
    <col min="2" max="2" width="11.00" customWidth="1"/>
    <col min="3" max="3" width="18.00" customWidth="1"/>
    <col min="4" max="4" width="30.00" customWidth="1"/>
    <col min="5" max="5" width="26.00" customWidth="1"/>
    <col min="6" max="6" width="70.00" customWidth="1"/>
    <col min="7" max="7" width="18.00" customWidth="1"/>
  </cols>
  <sheetData>
    <row r="1" ht="24.00" customHeight="1">
      <c r="A1" s="99" t="inlineStr">
        <is>
          <t>DVDAddin — Command practice workbook</t>
        </is>
      </c>
    </row>
    <row r="2" ht="48.00" customHeight="1">
      <c r="A2" s="100" t="inlineStr">
        <is>
          <t>Each sheet holds exactly the data shown in the guide pictures: cell addresses, column headers and formats match every step. Open the guide (last column), switch to the matching sheet and follow along. Save a copy first — a few commands work on the whole workbook (renaming, hiding, numbering or stripping accents from sheet names).</t>
        </is>
      </c>
    </row>
    <row r="4">
      <c r="A4" s="101" t="inlineStr">
        <is>
          <t>No.</t>
        </is>
      </c>
      <c r="B4" s="101" t="inlineStr">
        <is>
          <t>Tab</t>
        </is>
      </c>
      <c r="C4" s="101" t="inlineStr">
        <is>
          <t>Group</t>
        </is>
      </c>
      <c r="D4" s="101" t="inlineStr">
        <is>
          <t>Command</t>
        </is>
      </c>
      <c r="E4" s="101" t="inlineStr">
        <is>
          <t>Practice sheet</t>
        </is>
      </c>
      <c r="F4" s="101" t="inlineStr">
        <is>
          <t>Do this first</t>
        </is>
      </c>
      <c r="G4" s="101" t="inlineStr">
        <is>
          <t>Guide</t>
        </is>
      </c>
    </row>
    <row r="5">
      <c r="A5" s="103">
        <v>1</v>
      </c>
      <c r="B5" s="102" t="inlineStr">
        <is>
          <t>DVD Cons</t>
        </is>
      </c>
      <c r="C5" s="102" t="inlineStr">
        <is>
          <t>Schedule</t>
        </is>
      </c>
      <c r="D5" s="102" t="inlineStr">
        <is>
          <t>Gantt Chart</t>
        </is>
      </c>
      <c r="E5" s="104" t="inlineStr">
        <is>
          <t>Gantt Chart</t>
        </is>
      </c>
      <c r="F5" s="102" t="inlineStr">
        <is>
          <t>Open the schedule sheet and put the cursor in a cell of the task table, e.g. the last row — the add-in finds the header row (Duration / Start / Finish) and the data range by itself.</t>
        </is>
      </c>
      <c r="G5" s="104" t="str">
        <f>HYPERLINK("https://dvdaddin.dvdpm.net/en/commands/reference/btnDrawGanttChart","Open the guide")</f>
        <v>Open the guide</v>
      </c>
    </row>
    <row r="6">
      <c r="A6" s="103">
        <v>2</v>
      </c>
      <c r="B6" s="102" t="inlineStr">
        <is>
          <t>DVD Cons</t>
        </is>
      </c>
      <c r="C6" s="102" t="inlineStr">
        <is>
          <t>Schedule</t>
        </is>
      </c>
      <c r="D6" s="102" t="inlineStr">
        <is>
          <t>Auto Calc</t>
        </is>
      </c>
      <c r="E6" s="104" t="inlineStr">
        <is>
          <t>Auto Calc</t>
        </is>
      </c>
      <c r="F6" s="102" t="inlineStr">
        <is>
          <t>The button lights up while it is ON; Excel's status bar confirms it for about 6 seconds . Now try an edit: type a new duration for Excavate foundation pits — from 6 down to 4 days — and press Enter.</t>
        </is>
      </c>
      <c r="G6" s="104" t="str">
        <f>HYPERLINK("https://dvdaddin.dvdpm.net/en/commands/reference/ToggleAutoCalc","Open the guide")</f>
        <v>Open the guide</v>
      </c>
    </row>
    <row r="7">
      <c r="A7" s="103">
        <v>3</v>
      </c>
      <c r="B7" s="102" t="inlineStr">
        <is>
          <t>DVD Cons</t>
        </is>
      </c>
      <c r="C7" s="102" t="inlineStr">
        <is>
          <t>Schedule</t>
        </is>
      </c>
      <c r="D7" s="102" t="inlineStr">
        <is>
          <t>Auto Draw</t>
        </is>
      </c>
      <c r="E7" s="104" t="inlineStr">
        <is>
          <t>Auto Draw</t>
        </is>
      </c>
      <c r="F7" s="102" t="inlineStr">
        <is>
          <t>The button lights up while it is ON; the status bar confirms it for about 6 seconds . Now edit as usual — e.g. Excavate foundation pits hits groundwater, so its duration goes from 6 to 8 days .</t>
        </is>
      </c>
      <c r="G7" s="104" t="str">
        <f>HYPERLINK("https://dvdaddin.dvdpm.net/en/commands/reference/ToggleAutoDraw","Open the guide")</f>
        <v>Open the guide</v>
      </c>
    </row>
    <row r="8">
      <c r="A8" s="103">
        <v>4</v>
      </c>
      <c r="B8" s="102" t="inlineStr">
        <is>
          <t>DVD Cons</t>
        </is>
      </c>
      <c r="C8" s="102" t="inlineStr">
        <is>
          <t>Schedule</t>
        </is>
      </c>
      <c r="D8" s="102" t="inlineStr">
        <is>
          <t>Update schedule (data date)</t>
        </is>
      </c>
      <c r="E8" s="104" t="inlineStr">
        <is>
          <t>Update schedule (data date)</t>
        </is>
      </c>
      <c r="F8" s="102" t="inlineStr">
        <is>
          <t>Bring the actuals up to the report date: Actual Start, Actual Finish and % complete of each task . Here the report date is Wednesday 21/10/2026: Pile cap rebar and formwork is only 25% done, and Prefabricate column starter bars was due to start on 15/10 but has not started.</t>
        </is>
      </c>
      <c r="G8" s="104" t="str">
        <f>HYPERLINK("https://dvdaddin.dvdpm.net/en/commands/reference/btnUpdateSchedule","Open the guide")</f>
        <v>Open the guide</v>
      </c>
    </row>
    <row r="9">
      <c r="A9" s="103">
        <v>5</v>
      </c>
      <c r="B9" s="102" t="inlineStr">
        <is>
          <t>DVD Cons</t>
        </is>
      </c>
      <c r="C9" s="102" t="inlineStr">
        <is>
          <t>Schedule</t>
        </is>
      </c>
      <c r="D9" s="102" t="inlineStr">
        <is>
          <t>Update Status</t>
        </is>
      </c>
      <c r="E9" s="104" t="inlineStr">
        <is>
          <t>Update Status</t>
        </is>
      </c>
      <c r="F9" s="102" t="inlineStr">
        <is>
          <t>Open the schedule sheet to assess. It needs Duration / Start / Finish / Complete columns ; with Actual Start / Actual Finish you also get Δ Finish, Status and Forecast; with BAC / EV (here in million VND) you also get PV, SV and SPI.</t>
        </is>
      </c>
      <c r="G9" s="104" t="str">
        <f>HYPERLINK("https://dvdaddin.dvdpm.net/en/commands/reference/btnUpdateStatus","Open the guide")</f>
        <v>Open the guide</v>
      </c>
    </row>
    <row r="10">
      <c r="A10" s="103">
        <v>6</v>
      </c>
      <c r="B10" s="102" t="inlineStr">
        <is>
          <t>DVD Cons</t>
        </is>
      </c>
      <c r="C10" s="102" t="inlineStr">
        <is>
          <t>Schedule</t>
        </is>
      </c>
      <c r="D10" s="102" t="inlineStr">
        <is>
          <t>Setup</t>
        </is>
      </c>
      <c r="E10" s="105" t="inlineStr">
        <is>
          <t>— (no sample data needed)</t>
        </is>
      </c>
      <c r="F10" s="102" t="inlineStr">
        <is>
          <t/>
        </is>
      </c>
      <c r="G10" s="104" t="str">
        <f>HYPERLINK("https://dvdaddin.dvdpm.net/en/commands/reference/btnGanttSetupGroup","Open the guide")</f>
        <v>Open the guide</v>
      </c>
    </row>
    <row r="11">
      <c r="A11" s="103">
        <v>7</v>
      </c>
      <c r="B11" s="102" t="inlineStr">
        <is>
          <t>DVD Cons</t>
        </is>
      </c>
      <c r="C11" s="102" t="inlineStr">
        <is>
          <t>Schedule</t>
        </is>
      </c>
      <c r="D11" s="102" t="inlineStr">
        <is>
          <t>Gantt Tpl</t>
        </is>
      </c>
      <c r="E11" s="105" t="inlineStr">
        <is>
          <t>— (no sample data needed)</t>
        </is>
      </c>
      <c r="F11" s="102" t="inlineStr">
        <is>
          <t/>
        </is>
      </c>
      <c r="G11" s="104" t="str">
        <f>HYPERLINK("https://dvdaddin.dvdpm.net/en/commands/reference/btnGanttTpl","Open the guide")</f>
        <v>Open the guide</v>
      </c>
    </row>
    <row r="12">
      <c r="A12" s="103">
        <v>8</v>
      </c>
      <c r="B12" s="102" t="inlineStr">
        <is>
          <t>DVD Cons</t>
        </is>
      </c>
      <c r="C12" s="102" t="inlineStr">
        <is>
          <t>Schedule</t>
        </is>
      </c>
      <c r="D12" s="102" t="inlineStr">
        <is>
          <t>Constraints</t>
        </is>
      </c>
      <c r="E12" s="104" t="inlineStr">
        <is>
          <t>Constraints</t>
        </is>
      </c>
      <c r="F12" s="102" t="inlineStr">
        <is>
          <t>Open the schedule sheet and select the task row(s) to constrain — here Erect tower crane, because the crane pad is only handed over on 02/11/2026. With no row of the data area selected, the command just reminds you and stops.</t>
        </is>
      </c>
      <c r="G12" s="104" t="str">
        <f>HYPERLINK("https://dvdaddin.dvdpm.net/en/commands/reference/btnConstraints","Open the guide")</f>
        <v>Open the guide</v>
      </c>
    </row>
    <row r="13">
      <c r="A13" s="103">
        <v>9</v>
      </c>
      <c r="B13" s="102" t="inlineStr">
        <is>
          <t>DVD Cons</t>
        </is>
      </c>
      <c r="C13" s="102" t="inlineStr">
        <is>
          <t>Schedule</t>
        </is>
      </c>
      <c r="D13" s="102" t="inlineStr">
        <is>
          <t>Header Language</t>
        </is>
      </c>
      <c r="E13" s="104" t="inlineStr">
        <is>
          <t>Header Language</t>
        </is>
      </c>
      <c r="F13" s="102" t="inlineStr">
        <is>
          <t>Open the schedule sheet whose headers you want to switch — e.g. a sheet just imported from MS Project, with English headers .</t>
        </is>
      </c>
      <c r="G13" s="104" t="str">
        <f>HYPERLINK("https://dvdaddin.dvdpm.net/en/commands/reference/btnHeaderLang","Open the guide")</f>
        <v>Open the guide</v>
      </c>
    </row>
    <row r="14">
      <c r="A14" s="103">
        <v>10</v>
      </c>
      <c r="B14" s="102" t="inlineStr">
        <is>
          <t>DVD Cons</t>
        </is>
      </c>
      <c r="C14" s="102" t="inlineStr">
        <is>
          <t>Schedule</t>
        </is>
      </c>
      <c r="D14" s="102" t="inlineStr">
        <is>
          <t>Export XML (P6/MSP)</t>
        </is>
      </c>
      <c r="E14" s="104" t="inlineStr">
        <is>
          <t>Export XML (P6-MSP)</t>
        </is>
      </c>
      <c r="F14" s="102" t="inlineStr">
        <is>
          <t>Open the schedule sheet to export (it must be a worksheet). Let Auto Calc finish a pass first so the dates are current — the command only reads, it never changes the sheet.</t>
        </is>
      </c>
      <c r="G14" s="104" t="str">
        <f>HYPERLINK("https://dvdaddin.dvdpm.net/en/commands/reference/btnExportXml","Open the guide")</f>
        <v>Open the guide</v>
      </c>
    </row>
    <row r="15">
      <c r="A15" s="103">
        <v>11</v>
      </c>
      <c r="B15" s="102" t="inlineStr">
        <is>
          <t>DVD Cons</t>
        </is>
      </c>
      <c r="C15" s="102" t="inlineStr">
        <is>
          <t>Schedule</t>
        </is>
      </c>
      <c r="D15" s="102" t="inlineStr">
        <is>
          <t>Import XML (P6/MSP)</t>
        </is>
      </c>
      <c r="E15" s="105" t="inlineStr">
        <is>
          <t>— (no sample data needed)</t>
        </is>
      </c>
      <c r="F15" s="102" t="inlineStr">
        <is>
          <t/>
        </is>
      </c>
      <c r="G15" s="104" t="str">
        <f>HYPERLINK("https://dvdaddin.dvdpm.net/en/commands/reference/btnImportXml","Open the guide")</f>
        <v>Open the guide</v>
      </c>
    </row>
    <row r="16">
      <c r="A16" s="103">
        <v>12</v>
      </c>
      <c r="B16" s="102" t="inlineStr">
        <is>
          <t>DVD Cons</t>
        </is>
      </c>
      <c r="C16" s="102" t="inlineStr">
        <is>
          <t>Schedule</t>
        </is>
      </c>
      <c r="D16" s="102" t="inlineStr">
        <is>
          <t>Import .xer (P6)</t>
        </is>
      </c>
      <c r="E16" s="105" t="inlineStr">
        <is>
          <t>— (no sample data needed)</t>
        </is>
      </c>
      <c r="F16" s="102" t="inlineStr">
        <is>
          <t/>
        </is>
      </c>
      <c r="G16" s="104" t="str">
        <f>HYPERLINK("https://dvdaddin.dvdpm.net/en/commands/reference/btnImportXer","Open the guide")</f>
        <v>Open the guide</v>
      </c>
    </row>
    <row r="17">
      <c r="A17" s="103">
        <v>13</v>
      </c>
      <c r="B17" s="102" t="inlineStr">
        <is>
          <t>DVD Cons</t>
        </is>
      </c>
      <c r="C17" s="102" t="inlineStr">
        <is>
          <t>Schedule</t>
        </is>
      </c>
      <c r="D17" s="102" t="inlineStr">
        <is>
          <t>AI Gantt Builder</t>
        </is>
      </c>
      <c r="E17" s="104" t="inlineStr">
        <is>
          <t>AI Gantt Builder</t>
        </is>
      </c>
      <c r="F17" s="102" t="inlineStr">
        <is>
          <t>Open the bill-of-quantities sheet and select the BoQ range including its header row — column 1 code, column 2 item name, column 3 unit, column 4 quantity.</t>
        </is>
      </c>
      <c r="G17" s="104" t="str">
        <f>HYPERLINK("https://dvdaddin.dvdpm.net/en/commands/reference/btnGanttBuilder","Open the guide")</f>
        <v>Open the guide</v>
      </c>
    </row>
    <row r="18">
      <c r="A18" s="103">
        <v>14</v>
      </c>
      <c r="B18" s="102" t="inlineStr">
        <is>
          <t>DVD Cons</t>
        </is>
      </c>
      <c r="C18" s="102" t="inlineStr">
        <is>
          <t>Schedule</t>
        </is>
      </c>
      <c r="D18" s="102" t="inlineStr">
        <is>
          <t>Schedule Recovery</t>
        </is>
      </c>
      <c r="E18" s="104" t="inlineStr">
        <is>
          <t>Schedule Recovery</t>
        </is>
      </c>
      <c r="F18" s="102" t="inlineStr">
        <is>
          <t>Open the schedule sheet that has Start / Finish / Complete (%) columns , with % complete updated to the cut-off date.</t>
        </is>
      </c>
      <c r="G18" s="104" t="str">
        <f>HYPERLINK("https://dvdaddin.dvdpm.net/en/commands/reference/btnScheduleRecovery","Open the guide")</f>
        <v>Open the guide</v>
      </c>
    </row>
    <row r="19">
      <c r="A19" s="103">
        <v>15</v>
      </c>
      <c r="B19" s="102" t="inlineStr">
        <is>
          <t>DVD Cons</t>
        </is>
      </c>
      <c r="C19" s="102" t="inlineStr">
        <is>
          <t>Schedule</t>
        </is>
      </c>
      <c r="D19" s="102" t="inlineStr">
        <is>
          <t>Health Check</t>
        </is>
      </c>
      <c r="E19" s="104" t="inlineStr">
        <is>
          <t>Health Check</t>
        </is>
      </c>
      <c r="F19" s="102" t="inlineStr">
        <is>
          <t>Open the schedule to assess: it has Activity IDs, Predecessors links and actual dates. Run Auto Calc first so the Total Float column is filled — without it the Negative / High float checks are skipped.</t>
        </is>
      </c>
      <c r="G19" s="104" t="str">
        <f>HYPERLINK("https://dvdaddin.dvdpm.net/en/commands/reference/btnHealthCheck","Open the guide")</f>
        <v>Open the guide</v>
      </c>
    </row>
    <row r="20">
      <c r="A20" s="103">
        <v>16</v>
      </c>
      <c r="B20" s="102" t="inlineStr">
        <is>
          <t>DVD Cons</t>
        </is>
      </c>
      <c r="C20" s="102" t="inlineStr">
        <is>
          <t>Schedule</t>
        </is>
      </c>
      <c r="D20" s="102" t="inlineStr">
        <is>
          <t>EVM Report</t>
        </is>
      </c>
      <c r="E20" s="104" t="inlineStr">
        <is>
          <t>EVM Report</t>
        </is>
      </c>
      <c r="F20" s="102" t="inlineStr">
        <is>
          <t>On the schedule sheet, update Complete (%) and the actual cost AC up to the cut-off date; the BAC column holds each activity's budget (no BAC column yet? add a BAC column to the table first).</t>
        </is>
      </c>
      <c r="G20" s="104" t="str">
        <f>HYPERLINK("https://dvdaddin.dvdpm.net/en/commands/reference/btnEvmReport","Open the guide")</f>
        <v>Open the guide</v>
      </c>
    </row>
    <row r="21">
      <c r="A21" s="103">
        <v>17</v>
      </c>
      <c r="B21" s="102" t="inlineStr">
        <is>
          <t>DVD Cons</t>
        </is>
      </c>
      <c r="C21" s="102" t="inlineStr">
        <is>
          <t>Schedule</t>
        </is>
      </c>
      <c r="D21" s="102" t="inlineStr">
        <is>
          <t>Variance Dashboard</t>
        </is>
      </c>
      <c r="E21" s="104" t="inlineStr">
        <is>
          <t>Variance Dashboard</t>
        </is>
      </c>
      <c r="F21" s="102" t="inlineStr">
        <is>
          <t>Open the schedule sheet with up-to-date actual dates , % complete and the BAC / AC columns — the dashboard needs both the schedule and the cost side.</t>
        </is>
      </c>
      <c r="G21" s="104" t="str">
        <f>HYPERLINK("https://dvdaddin.dvdpm.net/en/commands/reference/btnVarianceDashboard","Open the guide")</f>
        <v>Open the guide</v>
      </c>
    </row>
    <row r="22">
      <c r="A22" s="103">
        <v>18</v>
      </c>
      <c r="B22" s="102" t="inlineStr">
        <is>
          <t>DVD Cons</t>
        </is>
      </c>
      <c r="C22" s="102" t="inlineStr">
        <is>
          <t>Schedule</t>
        </is>
      </c>
      <c r="D22" s="102" t="inlineStr">
        <is>
          <t>2-Week Lookahead</t>
        </is>
      </c>
      <c r="E22" s="104" t="inlineStr">
        <is>
          <t>2-Week Lookahead</t>
        </is>
      </c>
      <c r="F22" s="102" t="inlineStr">
        <is>
          <t>Open the schedule sheet with actual dates and % complete updated to today. Activity A3005 was due on 18/09 but is only 80% done — overdue work like this still makes it into the plan.</t>
        </is>
      </c>
      <c r="G22" s="104" t="str">
        <f>HYPERLINK("https://dvdaddin.dvdpm.net/en/commands/reference/btnLookahead2W","Open the guide")</f>
        <v>Open the guide</v>
      </c>
    </row>
    <row r="23">
      <c r="A23" s="103">
        <v>19</v>
      </c>
      <c r="B23" s="102" t="inlineStr">
        <is>
          <t>DVD Cons</t>
        </is>
      </c>
      <c r="C23" s="102" t="inlineStr">
        <is>
          <t>Schedule</t>
        </is>
      </c>
      <c r="D23" s="102" t="inlineStr">
        <is>
          <t>3-Week Lookahead</t>
        </is>
      </c>
      <c r="E23" s="104" t="inlineStr">
        <is>
          <t>3-Week Lookahead</t>
        </is>
      </c>
      <c r="F23" s="102" t="inlineStr">
        <is>
          <t>Open the schedule sheet with actual dates and % complete updated to today. Activity A3005 was due on 18/09 but is only 80% done — overdue work like this still makes it into the plan.</t>
        </is>
      </c>
      <c r="G23" s="104" t="str">
        <f>HYPERLINK("https://dvdaddin.dvdpm.net/en/commands/reference/btnLookahead","Open the guide")</f>
        <v>Open the guide</v>
      </c>
    </row>
    <row r="24">
      <c r="A24" s="103">
        <v>20</v>
      </c>
      <c r="B24" s="102" t="inlineStr">
        <is>
          <t>DVD Cons</t>
        </is>
      </c>
      <c r="C24" s="102" t="inlineStr">
        <is>
          <t>Schedule</t>
        </is>
      </c>
      <c r="D24" s="102" t="inlineStr">
        <is>
          <t>Schedule (custom range)</t>
        </is>
      </c>
      <c r="E24" s="104" t="inlineStr">
        <is>
          <t>Schedule (custom range)</t>
        </is>
      </c>
      <c r="F24" s="102" t="inlineStr">
        <is>
          <t>Open the source schedule sheet with Activity ID / Name and the Start / Finish columns . The command does not re-run CPM, so run Auto Calc first if you just changed the logic.</t>
        </is>
      </c>
      <c r="G24" s="104" t="str">
        <f>HYPERLINK("https://dvdaddin.dvdpm.net/en/commands/reference/btnLookaheadRange","Open the guide")</f>
        <v>Open the guide</v>
      </c>
    </row>
    <row r="25">
      <c r="A25" s="103">
        <v>21</v>
      </c>
      <c r="B25" s="102" t="inlineStr">
        <is>
          <t>DVD Cons</t>
        </is>
      </c>
      <c r="C25" s="102" t="inlineStr">
        <is>
          <t>Schedule</t>
        </is>
      </c>
      <c r="D25" s="102" t="inlineStr">
        <is>
          <t>Baseline</t>
        </is>
      </c>
      <c r="E25" s="105" t="inlineStr">
        <is>
          <t>— (no sample data needed)</t>
        </is>
      </c>
      <c r="F25" s="102" t="inlineStr">
        <is>
          <t/>
        </is>
      </c>
      <c r="G25" s="104" t="str">
        <f>HYPERLINK("https://dvdaddin.dvdpm.net/en/commands/reference/btnBaseline","Open the guide")</f>
        <v>Open the guide</v>
      </c>
    </row>
    <row r="26">
      <c r="A26" s="103">
        <v>22</v>
      </c>
      <c r="B26" s="102" t="inlineStr">
        <is>
          <t>DVD Cons</t>
        </is>
      </c>
      <c r="C26" s="102" t="inlineStr">
        <is>
          <t>Schedule</t>
        </is>
      </c>
      <c r="D26" s="102" t="inlineStr">
        <is>
          <t>Snapshot</t>
        </is>
      </c>
      <c r="E26" s="104" t="inlineStr">
        <is>
          <t>Snapshot</t>
        </is>
      </c>
      <c r="F26" s="102" t="inlineStr">
        <is>
          <t>Bring the schedule up to the weekly cut-off: Complete (%) and the actual cost AC (the BAC column is needed for SPI / CPI in the snapshot), then run Auto Calc.</t>
        </is>
      </c>
      <c r="G26" s="104" t="str">
        <f>HYPERLINK("https://dvdaddin.dvdpm.net/en/commands/reference/btnSnapshotCapture","Open the guide")</f>
        <v>Open the guide</v>
      </c>
    </row>
    <row r="27">
      <c r="A27" s="103">
        <v>23</v>
      </c>
      <c r="B27" s="102" t="inlineStr">
        <is>
          <t>DVD Cons</t>
        </is>
      </c>
      <c r="C27" s="102" t="inlineStr">
        <is>
          <t>Schedule</t>
        </is>
      </c>
      <c r="D27" s="102" t="inlineStr">
        <is>
          <t>Snapshot Trend</t>
        </is>
      </c>
      <c r="E27" s="105" t="inlineStr">
        <is>
          <t>— (no sample data needed)</t>
        </is>
      </c>
      <c r="F27" s="102" t="inlineStr">
        <is>
          <t/>
        </is>
      </c>
      <c r="G27" s="104" t="str">
        <f>HYPERLINK("https://dvdaddin.dvdpm.net/en/commands/reference/btnSnapshotTrend","Open the guide")</f>
        <v>Open the guide</v>
      </c>
    </row>
    <row r="28">
      <c r="A28" s="103">
        <v>24</v>
      </c>
      <c r="B28" s="102" t="inlineStr">
        <is>
          <t>DVD Cons</t>
        </is>
      </c>
      <c r="C28" s="102" t="inlineStr">
        <is>
          <t>Schedule</t>
        </is>
      </c>
      <c r="D28" s="102" t="inlineStr">
        <is>
          <t>Manpower</t>
        </is>
      </c>
      <c r="E28" s="104" t="inlineStr">
        <is>
          <t>Manpower</t>
        </is>
      </c>
      <c r="F28" s="102" t="inlineStr">
        <is>
          <t>Open the schedule sheet with a Manpower column — the crew size per day for each activity (without it the command counts concurrent activities instead). Run Auto Calc so the dates are current.</t>
        </is>
      </c>
      <c r="G28" s="104" t="str">
        <f>HYPERLINK("https://dvdaddin.dvdpm.net/en/commands/reference/btnManpower","Open the guide")</f>
        <v>Open the guide</v>
      </c>
    </row>
    <row r="29">
      <c r="A29" s="103">
        <v>25</v>
      </c>
      <c r="B29" s="102" t="inlineStr">
        <is>
          <t>DVD Cons</t>
        </is>
      </c>
      <c r="C29" s="102" t="inlineStr">
        <is>
          <t>Schedule</t>
        </is>
      </c>
      <c r="D29" s="102" t="inlineStr">
        <is>
          <t>Level resources</t>
        </is>
      </c>
      <c r="E29" s="104" t="inlineStr">
        <is>
          <t>Level resources</t>
        </is>
      </c>
      <c r="F29" s="102" t="inlineStr">
        <is>
          <t>Open the schedule sheet with a Predecessors column (so the build sequence is kept) and a Manpower column .</t>
        </is>
      </c>
      <c r="G29" s="104" t="str">
        <f>HYPERLINK("https://dvdaddin.dvdpm.net/en/commands/reference/btnResourceLevelling","Open the guide")</f>
        <v>Open the guide</v>
      </c>
    </row>
    <row r="30">
      <c r="A30" s="103">
        <v>26</v>
      </c>
      <c r="B30" s="102" t="inlineStr">
        <is>
          <t>DVD Cons</t>
        </is>
      </c>
      <c r="C30" s="102" t="inlineStr">
        <is>
          <t>Schedule</t>
        </is>
      </c>
      <c r="D30" s="102" t="inlineStr">
        <is>
          <t>Cash-flow</t>
        </is>
      </c>
      <c r="E30" s="104" t="inlineStr">
        <is>
          <t>Cash-flow</t>
        </is>
      </c>
      <c r="F30" s="102" t="inlineStr">
        <is>
          <t>Open the schedule sheet with a BAC (budget) for each activity and complete Start / Finish dates; run Auto Calc so the dates are current.</t>
        </is>
      </c>
      <c r="G30" s="104" t="str">
        <f>HYPERLINK("https://dvdaddin.dvdpm.net/en/commands/reference/btnCashflow","Open the guide")</f>
        <v>Open the guide</v>
      </c>
    </row>
    <row r="31">
      <c r="A31" s="103">
        <v>27</v>
      </c>
      <c r="B31" s="102" t="inlineStr">
        <is>
          <t>DVD Cons</t>
        </is>
      </c>
      <c r="C31" s="102" t="inlineStr">
        <is>
          <t>Optimizer</t>
        </is>
      </c>
      <c r="D31" s="102" t="inlineStr">
        <is>
          <t>Rebar Cut</t>
        </is>
      </c>
      <c r="E31" s="104" t="inlineStr">
        <is>
          <t>Rebar Cut</t>
        </is>
      </c>
      <c r="F31" s="102" t="inlineStr">
        <is>
          <t>Open the workbook that holds a four-column cut list Ø (mm) · Length (mm) · Quantity · Marks — the 2_CutList sheet written by Bar schedule → Export cut list, or the Cutting Tpl file. Rows below the coil threshold (10 mm by default) are not cut, only totalled in metres and kg.</t>
        </is>
      </c>
      <c r="G31" s="104" t="str">
        <f>HYPERLINK("https://dvdaddin.dvdpm.net/en/commands/reference/btnCuttingOptimizer","Open the guide")</f>
        <v>Open the guide</v>
      </c>
    </row>
    <row r="32">
      <c r="A32" s="103">
        <v>28</v>
      </c>
      <c r="B32" s="102" t="inlineStr">
        <is>
          <t>DVD Cons</t>
        </is>
      </c>
      <c r="C32" s="102" t="inlineStr">
        <is>
          <t>Optimizer</t>
        </is>
      </c>
      <c r="D32" s="102" t="inlineStr">
        <is>
          <t>Manual schedule</t>
        </is>
      </c>
      <c r="E32" s="105" t="inlineStr">
        <is>
          <t>— (no sample data needed)</t>
        </is>
      </c>
      <c r="F32" s="102" t="inlineStr">
        <is>
          <t/>
        </is>
      </c>
      <c r="G32" s="104" t="str">
        <f>HYPERLINK("https://dvdaddin.dvdpm.net/en/commands/reference/btnRebarShape","Open the guide")</f>
        <v>Open the guide</v>
      </c>
    </row>
    <row r="33">
      <c r="A33" s="103">
        <v>29</v>
      </c>
      <c r="B33" s="102" t="inlineStr">
        <is>
          <t>DVD Cons</t>
        </is>
      </c>
      <c r="C33" s="102" t="inlineStr">
        <is>
          <t>Optimizer</t>
        </is>
      </c>
      <c r="D33" s="102" t="inlineStr">
        <is>
          <t>Bar schedule</t>
        </is>
      </c>
      <c r="E33" s="104" t="inlineStr">
        <is>
          <t>Bar schedule</t>
        </is>
      </c>
      <c r="F33" s="102" t="inlineStr">
        <is>
          <t>Select the rebar dimension table, header row included . The shape column takes either a code (00, 21, 51…) or a word (straight, L, đai); only the diameter column is mandatory.</t>
        </is>
      </c>
      <c r="G33" s="104" t="str">
        <f>HYPERLINK("https://dvdaddin.dvdpm.net/en/commands/reference/btnBendingSchedule","Open the guide")</f>
        <v>Open the guide</v>
      </c>
    </row>
    <row r="34">
      <c r="A34" s="103">
        <v>30</v>
      </c>
      <c r="B34" s="102" t="inlineStr">
        <is>
          <t>DVD Cons</t>
        </is>
      </c>
      <c r="C34" s="102" t="inlineStr">
        <is>
          <t>Optimizer</t>
        </is>
      </c>
      <c r="D34" s="102" t="inlineStr">
        <is>
          <t>Bar Cut 1D</t>
        </is>
      </c>
      <c r="E34" s="104" t="inlineStr">
        <is>
          <t>Bar Cut 1D, Bar Cut 1D · CatThanh_Thanh</t>
        </is>
      </c>
      <c r="F34" s="102" t="inlineStr">
        <is>
          <t>Enter the pieces to cut on the CatThanh_Phoi sheet — if the sheet does not exist yet, create it with Bar Tpl. Example: frame and bracing in 50×50 box section for a working platform.</t>
        </is>
      </c>
      <c r="G34" s="104" t="str">
        <f>HYPERLINK("https://dvdaddin.dvdpm.net/en/commands/reference/btnBarCut","Open the guide")</f>
        <v>Open the guide</v>
      </c>
    </row>
    <row r="35">
      <c r="A35" s="103">
        <v>31</v>
      </c>
      <c r="B35" s="102" t="inlineStr">
        <is>
          <t>DVD Cons</t>
        </is>
      </c>
      <c r="C35" s="102" t="inlineStr">
        <is>
          <t>Optimizer</t>
        </is>
      </c>
      <c r="D35" s="102" t="inlineStr">
        <is>
          <t>Panel Cut 2D</t>
        </is>
      </c>
      <c r="E35" s="104" t="inlineStr">
        <is>
          <t>Panel Cut 2D, Panel Cut 2D · CatTam_Tam</t>
        </is>
      </c>
      <c r="F35" s="102" t="inlineStr">
        <is>
          <t>Enter the pieces to cut on the CatTam_Phoi sheet — if the sheet does not exist yet, create it with Panel Tpl. Example: film-faced plywood formwork for one floor; set Rotate (1/0) to 0 for the edge boards that must keep the grain direction.</t>
        </is>
      </c>
      <c r="G35" s="104" t="str">
        <f>HYPERLINK("https://dvdaddin.dvdpm.net/en/commands/reference/btnPanelCut","Open the guide")</f>
        <v>Open the guide</v>
      </c>
    </row>
    <row r="36">
      <c r="A36" s="103">
        <v>32</v>
      </c>
      <c r="B36" s="102" t="inlineStr">
        <is>
          <t>DVD Cons</t>
        </is>
      </c>
      <c r="C36" s="102" t="inlineStr">
        <is>
          <t>Optimizer</t>
        </is>
      </c>
      <c r="D36" s="102" t="inlineStr">
        <is>
          <t>Cutting Tpl</t>
        </is>
      </c>
      <c r="E36" s="104" t="inlineStr">
        <is>
          <t>Cutting Tpl</t>
        </is>
      </c>
      <c r="F36" s="102" t="inlineStr">
        <is>
          <t>Go to the 2_CatThep sheet: four columns Ø (mm) · Chiều dài (mm) · Số lượng · Ký hiệu (diameter, length, quantity, mark) — the file itself is in Vietnamese. The tinted rows are sample data, as the note on the right says : clear them and enter your cut list, or paste it from Bar schedule → Export cut list.</t>
        </is>
      </c>
      <c r="G36" s="104" t="str">
        <f>HYPERLINK("https://dvdaddin.dvdpm.net/en/commands/reference/btnCuttingTpl","Open the guide")</f>
        <v>Open the guide</v>
      </c>
    </row>
    <row r="37">
      <c r="A37" s="103">
        <v>33</v>
      </c>
      <c r="B37" s="102" t="inlineStr">
        <is>
          <t>DVD Cons</t>
        </is>
      </c>
      <c r="C37" s="102" t="inlineStr">
        <is>
          <t>Optimizer</t>
        </is>
      </c>
      <c r="D37" s="102" t="inlineStr">
        <is>
          <t>Bar Tpl</t>
        </is>
      </c>
      <c r="E37" s="104" t="inlineStr">
        <is>
          <t>Bar Tpl</t>
        </is>
      </c>
      <c r="F37" s="102" t="inlineStr">
        <is>
          <t>The add-in adds two sheets to the open workbook (with no workbook open it creates a new one) and confirms ✓ Bar-cut template ready. CatThanh_Phoi is the list of pieces to cut — Length · Qty · Material · Label · Priority, with 4 sample rows ; pieces with a higher Priority are placed first. A sheet that already has something in A1 is left untouched.</t>
        </is>
      </c>
      <c r="G37" s="104" t="str">
        <f>HYPERLINK("https://dvdaddin.dvdpm.net/en/commands/reference/btnBarTpl","Open the guide")</f>
        <v>Open the guide</v>
      </c>
    </row>
    <row r="38">
      <c r="A38" s="103">
        <v>34</v>
      </c>
      <c r="B38" s="102" t="inlineStr">
        <is>
          <t>DVD Cons</t>
        </is>
      </c>
      <c r="C38" s="102" t="inlineStr">
        <is>
          <t>Optimizer</t>
        </is>
      </c>
      <c r="D38" s="102" t="inlineStr">
        <is>
          <t>Panel Tpl</t>
        </is>
      </c>
      <c r="E38" s="104" t="inlineStr">
        <is>
          <t>Panel Tpl</t>
        </is>
      </c>
      <c r="F38" s="102" t="inlineStr">
        <is>
          <t>Clear the sample rows and enter the pieces to cut in CatTam_Phoi in the column order shown — here 8 mm glass for a curtain wall. Set Rotate (1/0) to 0 for directional glass, grained board or ribbed sheet; the Band / Grind columns list the edges to band / grind (T B L R) — leave them empty if none.</t>
        </is>
      </c>
      <c r="G38" s="104" t="str">
        <f>HYPERLINK("https://dvdaddin.dvdpm.net/en/commands/reference/btnPanelTpl","Open the guide")</f>
        <v>Open the guide</v>
      </c>
    </row>
    <row r="39">
      <c r="A39" s="103">
        <v>35</v>
      </c>
      <c r="B39" s="102" t="inlineStr">
        <is>
          <t>DVD Cons</t>
        </is>
      </c>
      <c r="C39" s="102" t="inlineStr">
        <is>
          <t>QAQC and Diary</t>
        </is>
      </c>
      <c r="D39" s="102" t="inlineStr">
        <is>
          <t>New Diary</t>
        </is>
      </c>
      <c r="E39" s="104" t="inlineStr">
        <is>
          <t>New Diary</t>
        </is>
      </c>
      <c r="F39" s="102" t="inlineStr">
        <is>
          <t>Prepare the work-item catalog : one row per task with start, finish, acceptance date, description and (optionally) rest days. Put the diary period start and end date in two separate cells. The data range must include the header row — the add-in skips the first row of the range.</t>
        </is>
      </c>
      <c r="G39" s="104" t="str">
        <f>HYPERLINK("https://dvdaddin.dvdpm.net/en/commands/reference/btnConsDiary","Open the guide")</f>
        <v>Open the guide</v>
      </c>
    </row>
    <row r="40">
      <c r="A40" s="103">
        <v>36</v>
      </c>
      <c r="B40" s="102" t="inlineStr">
        <is>
          <t>DVD Cons</t>
        </is>
      </c>
      <c r="C40" s="102" t="inlineStr">
        <is>
          <t>QAQC and Diary</t>
        </is>
      </c>
      <c r="D40" s="102" t="inlineStr">
        <is>
          <t>Export Category</t>
        </is>
      </c>
      <c r="E40" s="104" t="inlineStr">
        <is>
          <t>Export Category</t>
        </is>
      </c>
      <c r="F40" s="102" t="inlineStr">
        <is>
          <t>The acceptance log has many columns, but the form for the supervision consultant needs only work item, location, date and record number. Identify the data range — data rows only, not the header row (every row with text in the base column is exported). A group row such as "A. SUBSTRUCTURE" has an empty work-item cell, so it is not exported.</t>
        </is>
      </c>
      <c r="G40" s="104" t="str">
        <f>HYPERLINK("https://dvdaddin.dvdpm.net/en/commands/reference/btnExportCategory","Open the guide")</f>
        <v>Open the guide</v>
      </c>
    </row>
    <row r="41">
      <c r="A41" s="103">
        <v>37</v>
      </c>
      <c r="B41" s="102" t="inlineStr">
        <is>
          <t>DVD Cons</t>
        </is>
      </c>
      <c r="C41" s="102" t="inlineStr">
        <is>
          <t>QAQC and Diary</t>
        </is>
      </c>
      <c r="D41" s="102" t="inlineStr">
        <is>
          <t>Pick Rest Days</t>
        </is>
      </c>
      <c r="E41" s="104" t="inlineStr">
        <is>
          <t>Pick Rest Days</t>
        </is>
      </c>
      <c r="F41" s="102" t="inlineStr">
        <is>
          <t>In the work-item catalog, select the rest-days cell of the task — select several cells if several tasks stop on the same days (up to 500 cells).</t>
        </is>
      </c>
      <c r="G41" s="104" t="str">
        <f>HYPERLINK("https://dvdaddin.dvdpm.net/en/commands/reference/btnRestDays","Open the guide")</f>
        <v>Open the guide</v>
      </c>
    </row>
    <row r="42">
      <c r="A42" s="103">
        <v>38</v>
      </c>
      <c r="B42" s="102" t="inlineStr">
        <is>
          <t>DVD Cons</t>
        </is>
      </c>
      <c r="C42" s="102" t="inlineStr">
        <is>
          <t>QAQC and Diary</t>
        </is>
      </c>
      <c r="D42" s="102" t="inlineStr">
        <is>
          <t>Work Record Tpl</t>
        </is>
      </c>
      <c r="E42" s="104" t="inlineStr">
        <is>
          <t>Work Record Tpl</t>
        </is>
      </c>
      <c r="F42" s="102" t="inlineStr">
        <is>
          <t>The add-in opens the template FormNTCV.xlsx from the add-in folder C:\DVDAddin\Template\ (failing that, from a Template\ folder next to the open workbook; if neither exists it lists the paths it searched). Go to sheet TTC and fill in the general information : every form in the file takes the project, works, package and parties from here, and Tỉnh thành (province) starts the "…, ngày … tháng … năm …" date line of the records.</t>
        </is>
      </c>
      <c r="G42" s="104" t="str">
        <f>HYPERLINK("https://dvdaddin.dvdpm.net/en/commands/reference/btnWorkRecordTpl","Open the guide")</f>
        <v>Open the guide</v>
      </c>
    </row>
    <row r="43">
      <c r="A43" s="103">
        <v>39</v>
      </c>
      <c r="B43" s="102" t="inlineStr">
        <is>
          <t>DVD Cons</t>
        </is>
      </c>
      <c r="C43" s="102" t="inlineStr">
        <is>
          <t>QAQC and Diary</t>
        </is>
      </c>
      <c r="D43" s="102" t="inlineStr">
        <is>
          <t>Material Record Tpl</t>
        </is>
      </c>
      <c r="E43" s="104" t="inlineStr">
        <is>
          <t>Material Record Tpl</t>
        </is>
      </c>
      <c r="F43" s="102" t="inlineStr">
        <is>
          <t>The add-in opens the template FormNTVL.xlsx from the add-in folder C:\DVDAddin\Template\ (failing that, from a Template\ folder next to the open workbook; if neither exists it lists the paths it searched). Go to sheet TTC and fill in the general information : every form in the file takes the project, works, package and parties from here, and Tỉnh thành (province) starts the "…, ngày … tháng … năm …" date line of the records.</t>
        </is>
      </c>
      <c r="G43" s="104" t="str">
        <f>HYPERLINK("https://dvdaddin.dvdpm.net/en/commands/reference/btnMaterialRecordTpl","Open the guide")</f>
        <v>Open the guide</v>
      </c>
    </row>
    <row r="44">
      <c r="A44" s="103">
        <v>40</v>
      </c>
      <c r="B44" s="102" t="inlineStr">
        <is>
          <t>DVD Cons</t>
        </is>
      </c>
      <c r="C44" s="102" t="inlineStr">
        <is>
          <t>QAQC and Diary</t>
        </is>
      </c>
      <c r="D44" s="102" t="inlineStr">
        <is>
          <t>Diary Template</t>
        </is>
      </c>
      <c r="E44" s="104" t="inlineStr">
        <is>
          <t>Diary Template, DATA</t>
        </is>
      </c>
      <c r="F44" s="102" t="inlineStr">
        <is>
          <t>The add-in opens the template FormNKCT.xlsx from C:\DVDAddin\Template\ (or a Template\ folder next to the open workbook) on sheet NKCT — the diary page for one day. Every cell on the page comes from sheet DATA: the date , weather, manpower and equipment , materials in and out, work carried out and accepted that day. The date line uses a cell format with the place name "Tỉnh/TP" built in — change it in Format Cells for your project.</t>
        </is>
      </c>
      <c r="G44" s="104" t="str">
        <f>HYPERLINK("https://dvdaddin.dvdpm.net/en/commands/reference/btnDiaryTpl","Open the guide")</f>
        <v>Open the guide</v>
      </c>
    </row>
    <row r="45">
      <c r="A45" s="103">
        <v>41</v>
      </c>
      <c r="B45" s="102" t="inlineStr">
        <is>
          <t>DVD Cons</t>
        </is>
      </c>
      <c r="C45" s="102" t="inlineStr">
        <is>
          <t>QAQC and Diary</t>
        </is>
      </c>
      <c r="D45" s="102" t="inlineStr">
        <is>
          <t>Test Plan</t>
        </is>
      </c>
      <c r="E45" s="104" t="inlineStr">
        <is>
          <t>Test Plan</t>
        </is>
      </c>
      <c r="F45" s="102" t="inlineStr">
        <is>
          <t>Select the cells that hold material names (for example the item column of a bill of quantities) .</t>
        </is>
      </c>
      <c r="G45" s="104" t="str">
        <f>HYPERLINK("https://dvdaddin.dvdpm.net/en/commands/reference/btnTestPlan","Open the guide")</f>
        <v>Open the guide</v>
      </c>
    </row>
    <row r="46">
      <c r="A46" s="103">
        <v>42</v>
      </c>
      <c r="B46" s="102" t="inlineStr">
        <is>
          <t>DVD Cons</t>
        </is>
      </c>
      <c r="C46" s="102" t="inlineStr">
        <is>
          <t>QAQC and Diary</t>
        </is>
      </c>
      <c r="D46" s="102" t="inlineStr">
        <is>
          <t>Acceptance Plan</t>
        </is>
      </c>
      <c r="E46" s="104" t="inlineStr">
        <is>
          <t>Acceptance Plan</t>
        </is>
      </c>
      <c r="F46" s="102" t="inlineStr">
        <is>
          <t>Open the sheet that holds the schedule. The add-in finds the header row with a Task Name column and Start / Finish (plus Activity ID and Level if present) ; every task row below it becomes one acceptance-plan row.</t>
        </is>
      </c>
      <c r="G46" s="104" t="str">
        <f>HYPERLINK("https://dvdaddin.dvdpm.net/en/commands/reference/btnAcceptancePlan","Open the guide")</f>
        <v>Open the guide</v>
      </c>
    </row>
    <row r="47">
      <c r="A47" s="103">
        <v>43</v>
      </c>
      <c r="B47" s="102" t="inlineStr">
        <is>
          <t>DVD Cons</t>
        </is>
      </c>
      <c r="C47" s="102" t="inlineStr">
        <is>
          <t>QAQC and Diary</t>
        </is>
      </c>
      <c r="D47" s="102" t="inlineStr">
        <is>
          <t>Acceptance Record</t>
        </is>
      </c>
      <c r="E47" s="104" t="inlineStr">
        <is>
          <t>Acceptance Record</t>
        </is>
      </c>
      <c r="F47" s="102" t="inlineStr">
        <is>
          <t>Open the Ke hoach NT … sheet made by the Acceptance command and select the work rows to accept — Ctrl-select separate blocks if needed. The Applicable standard column is copied into the basis of acceptance, so review it and correct it to the actual standard numbers first.</t>
        </is>
      </c>
      <c r="G47" s="104" t="str">
        <f>HYPERLINK("https://dvdaddin.dvdpm.net/en/commands/reference/btnAcceptanceRecord","Open the guide")</f>
        <v>Open the guide</v>
      </c>
    </row>
    <row r="48">
      <c r="A48" s="103">
        <v>44</v>
      </c>
      <c r="B48" s="102" t="inlineStr">
        <is>
          <t>DVD Cons</t>
        </is>
      </c>
      <c r="C48" s="102" t="inlineStr">
        <is>
          <t>QAQC and Diary</t>
        </is>
      </c>
      <c r="D48" s="102" t="inlineStr">
        <is>
          <t>Punch list</t>
        </is>
      </c>
      <c r="E48" s="105" t="inlineStr">
        <is>
          <t>— (no sample data needed)</t>
        </is>
      </c>
      <c r="F48" s="102" t="inlineStr">
        <is>
          <t/>
        </is>
      </c>
      <c r="G48" s="104" t="str">
        <f>HYPERLINK("https://dvdaddin.dvdpm.net/en/commands/reference/btnPunchList","Open the guide")</f>
        <v>Open the guide</v>
      </c>
    </row>
    <row r="49">
      <c r="A49" s="103">
        <v>45</v>
      </c>
      <c r="B49" s="102" t="inlineStr">
        <is>
          <t>DVD Cons</t>
        </is>
      </c>
      <c r="C49" s="102" t="inlineStr">
        <is>
          <t>QAQC and Diary</t>
        </is>
      </c>
      <c r="D49" s="102" t="inlineStr">
        <is>
          <t>RFI</t>
        </is>
      </c>
      <c r="E49" s="105" t="inlineStr">
        <is>
          <t>— (no sample data needed)</t>
        </is>
      </c>
      <c r="F49" s="102" t="inlineStr">
        <is>
          <t/>
        </is>
      </c>
      <c r="G49" s="104" t="str">
        <f>HYPERLINK("https://dvdaddin.dvdpm.net/en/commands/reference/btnRfiRegister","Open the guide")</f>
        <v>Open the guide</v>
      </c>
    </row>
    <row r="50">
      <c r="A50" s="103">
        <v>46</v>
      </c>
      <c r="B50" s="102" t="inlineStr">
        <is>
          <t>DVD Cons</t>
        </is>
      </c>
      <c r="C50" s="102" t="inlineStr">
        <is>
          <t>QAQC and Diary</t>
        </is>
      </c>
      <c r="D50" s="102" t="inlineStr">
        <is>
          <t>Submittals</t>
        </is>
      </c>
      <c r="E50" s="105" t="inlineStr">
        <is>
          <t>— (no sample data needed)</t>
        </is>
      </c>
      <c r="F50" s="102" t="inlineStr">
        <is>
          <t/>
        </is>
      </c>
      <c r="G50" s="104" t="str">
        <f>HYPERLINK("https://dvdaddin.dvdpm.net/en/commands/reference/btnSubmittalRegister","Open the guide")</f>
        <v>Open the guide</v>
      </c>
    </row>
    <row r="51">
      <c r="A51" s="103">
        <v>47</v>
      </c>
      <c r="B51" s="102" t="inlineStr">
        <is>
          <t>DVD Cons</t>
        </is>
      </c>
      <c r="C51" s="102" t="inlineStr">
        <is>
          <t>QS</t>
        </is>
      </c>
      <c r="D51" s="102" t="inlineStr">
        <is>
          <t>AI Construction Estimate</t>
        </is>
      </c>
      <c r="E51" s="104" t="inlineStr">
        <is>
          <t>AI Construction Estimate</t>
        </is>
      </c>
      <c r="F51" s="102" t="inlineStr">
        <is>
          <t>Select the items to price, covering the item name, unit and (if available) quantity columns . Leave the price, source and note columns on the right empty.</t>
        </is>
      </c>
      <c r="G51" s="104" t="str">
        <f>HYPERLINK("https://dvdaddin.dvdpm.net/en/commands/reference/btnAIEstimate","Open the guide")</f>
        <v>Open the guide</v>
      </c>
    </row>
    <row r="52">
      <c r="A52" s="103">
        <v>48</v>
      </c>
      <c r="B52" s="102" t="inlineStr">
        <is>
          <t>DVD Cons</t>
        </is>
      </c>
      <c r="C52" s="102" t="inlineStr">
        <is>
          <t>QS</t>
        </is>
      </c>
      <c r="D52" s="102" t="inlineStr">
        <is>
          <t>Interim Payment</t>
        </is>
      </c>
      <c r="E52" s="104" t="inlineStr">
        <is>
          <t>Interim Payment</t>
        </is>
      </c>
      <c r="F52" s="102" t="inlineStr">
        <is>
          <t>Select the contract bill of quantities, including its header row . The % done (cum.) column is the progress you update before each payment period.</t>
        </is>
      </c>
      <c r="G52" s="104" t="str">
        <f>HYPERLINK("https://dvdaddin.dvdpm.net/en/commands/reference/btnPaymentValuation","Open the guide")</f>
        <v>Open the guide</v>
      </c>
    </row>
    <row r="53">
      <c r="A53" s="103">
        <v>49</v>
      </c>
      <c r="B53" s="102" t="inlineStr">
        <is>
          <t>DVD Cons</t>
        </is>
      </c>
      <c r="C53" s="102" t="inlineStr">
        <is>
          <t>QS</t>
        </is>
      </c>
      <c r="D53" s="102" t="inlineStr">
        <is>
          <t>Compare BoQ</t>
        </is>
      </c>
      <c r="E53" s="104" t="inlineStr">
        <is>
          <t>Compare BoQ</t>
        </is>
      </c>
      <c r="F53" s="102" t="inlineStr">
        <is>
          <t>Both BoQ versions must share the same column layout, e.g. the Tender and Measured sheets in one workbook: column B holds the code used as the match key and column E the quantity . No selection is needed.</t>
        </is>
      </c>
      <c r="G53" s="104" t="str">
        <f>HYPERLINK("https://dvdaddin.dvdpm.net/en/commands/reference/btnBoqCompare","Open the guide")</f>
        <v>Open the guide</v>
      </c>
    </row>
    <row r="54">
      <c r="A54" s="103">
        <v>50</v>
      </c>
      <c r="B54" s="102" t="inlineStr">
        <is>
          <t>DVD Cons</t>
        </is>
      </c>
      <c r="C54" s="102" t="inlineStr">
        <is>
          <t>QS</t>
        </is>
      </c>
      <c r="D54" s="102" t="inlineStr">
        <is>
          <t>Price adjustment</t>
        </is>
      </c>
      <c r="E54" s="104" t="inlineStr">
        <is>
          <t>Price adjustment</t>
        </is>
      </c>
      <c r="F54" s="102" t="inlineStr">
        <is>
          <t>Select the table of materials eligible for adjustment, including its header row : material name, quantity, base contract price and price at the adjustment date.</t>
        </is>
      </c>
      <c r="G54" s="104" t="str">
        <f>HYPERLINK("https://dvdaddin.dvdpm.net/en/commands/reference/btnPriceAdjustment","Open the guide")</f>
        <v>Open the guide</v>
      </c>
    </row>
    <row r="55">
      <c r="A55" s="103">
        <v>51</v>
      </c>
      <c r="B55" s="102" t="inlineStr">
        <is>
          <t>DVD Cons</t>
        </is>
      </c>
      <c r="C55" s="102" t="inlineStr">
        <is>
          <t>QS</t>
        </is>
      </c>
      <c r="D55" s="102" t="inlineStr">
        <is>
          <t>Estimate bridge</t>
        </is>
      </c>
      <c r="E55" s="104" t="inlineStr">
        <is>
          <t>Estimate bridge</t>
        </is>
      </c>
      <c r="F55" s="102" t="inlineStr">
        <is>
          <t>In the estimating software, export the estimate to Excel. The export usually has a few project-name lines, a column-heading row , chapter rows and subtotal rows — no clean-up is needed, and the file does not have to be open.</t>
        </is>
      </c>
      <c r="G55" s="104" t="str">
        <f>HYPERLINK("https://dvdaddin.dvdpm.net/en/commands/reference/btnEstimateBridge","Open the guide")</f>
        <v>Open the guide</v>
      </c>
    </row>
    <row r="56">
      <c r="A56" s="103">
        <v>52</v>
      </c>
      <c r="B56" s="102" t="inlineStr">
        <is>
          <t>DVD Cons</t>
        </is>
      </c>
      <c r="C56" s="102" t="inlineStr">
        <is>
          <t>QS</t>
        </is>
      </c>
      <c r="D56" s="102" t="inlineStr">
        <is>
          <t>PDF takeoff</t>
        </is>
      </c>
      <c r="E56" s="105" t="inlineStr">
        <is>
          <t>— (no sample data needed)</t>
        </is>
      </c>
      <c r="F56" s="102" t="inlineStr">
        <is>
          <t/>
        </is>
      </c>
      <c r="G56" s="104" t="str">
        <f>HYPERLINK("https://dvdaddin.dvdpm.net/en/commands/reference/btnPdfTakeoff","Open the guide")</f>
        <v>Open the guide</v>
      </c>
    </row>
    <row r="57">
      <c r="A57" s="103">
        <v>53</v>
      </c>
      <c r="B57" s="102" t="inlineStr">
        <is>
          <t>DVD Cons</t>
        </is>
      </c>
      <c r="C57" s="102" t="inlineStr">
        <is>
          <t>QS</t>
        </is>
      </c>
      <c r="D57" s="102" t="inlineStr">
        <is>
          <t>Compare drawings</t>
        </is>
      </c>
      <c r="E57" s="105" t="inlineStr">
        <is>
          <t>— (no sample data needed)</t>
        </is>
      </c>
      <c r="F57" s="102" t="inlineStr">
        <is>
          <t/>
        </is>
      </c>
      <c r="G57" s="104" t="str">
        <f>HYPERLINK("https://dvdaddin.dvdpm.net/en/commands/reference/btnPdfCompare","Open the guide")</f>
        <v>Open the guide</v>
      </c>
    </row>
    <row r="58">
      <c r="A58" s="103">
        <v>54</v>
      </c>
      <c r="B58" s="102" t="inlineStr">
        <is>
          <t>DVD Cons</t>
        </is>
      </c>
      <c r="C58" s="102" t="inlineStr">
        <is>
          <t>QS</t>
        </is>
      </c>
      <c r="D58" s="102" t="inlineStr">
        <is>
          <t>Data query</t>
        </is>
      </c>
      <c r="E58" s="104" t="inlineStr">
        <is>
          <t>Data query</t>
        </is>
      </c>
      <c r="F58" s="102" t="inlineStr">
        <is>
          <t>Select the cell that will receive the result — here the foundation concrete quantity in the summary table.</t>
        </is>
      </c>
      <c r="G58" s="104" t="str">
        <f>HYPERLINK("https://dvdaddin.dvdpm.net/en/commands/reference/btnSqlBuilder","Open the guide")</f>
        <v>Open the guide</v>
      </c>
    </row>
    <row r="59">
      <c r="A59" s="103">
        <v>55</v>
      </c>
      <c r="B59" s="102" t="inlineStr">
        <is>
          <t>DVD Cons</t>
        </is>
      </c>
      <c r="C59" s="102" t="inlineStr">
        <is>
          <t>QS</t>
        </is>
      </c>
      <c r="D59" s="102" t="inlineStr">
        <is>
          <t>Variation Register</t>
        </is>
      </c>
      <c r="E59" s="104" t="inlineStr">
        <is>
          <t>Variation Register</t>
        </is>
      </c>
      <c r="F59" s="102" t="inlineStr">
        <is>
          <t>Select the takeoff of the variation items, including the header row . Quantities are positive for additions, negative for omissions .</t>
        </is>
      </c>
      <c r="G59" s="104" t="str">
        <f>HYPERLINK("https://dvdaddin.dvdpm.net/en/commands/reference/btnVariationRegister","Open the guide")</f>
        <v>Open the guide</v>
      </c>
    </row>
    <row r="60">
      <c r="A60" s="103">
        <v>56</v>
      </c>
      <c r="B60" s="102" t="inlineStr">
        <is>
          <t>DVD Cons</t>
        </is>
      </c>
      <c r="C60" s="102" t="inlineStr">
        <is>
          <t>Connection</t>
        </is>
      </c>
      <c r="D60" s="102" t="inlineStr">
        <is>
          <t>Connect</t>
        </is>
      </c>
      <c r="E60" s="105" t="inlineStr">
        <is>
          <t>— (no sample data needed)</t>
        </is>
      </c>
      <c r="F60" s="102" t="inlineStr">
        <is>
          <t/>
        </is>
      </c>
      <c r="G60" s="104" t="str">
        <f>HYPERLINK("https://dvdaddin.dvdpm.net/en/commands/reference/btnConnect","Open the guide")</f>
        <v>Open the guide</v>
      </c>
    </row>
    <row r="61">
      <c r="A61" s="103">
        <v>57</v>
      </c>
      <c r="B61" s="102" t="inlineStr">
        <is>
          <t>DVD Cons</t>
        </is>
      </c>
      <c r="C61" s="102" t="inlineStr">
        <is>
          <t>Connection</t>
        </is>
      </c>
      <c r="D61" s="102" t="inlineStr">
        <is>
          <t>Disconnect</t>
        </is>
      </c>
      <c r="E61" s="105" t="inlineStr">
        <is>
          <t>— (no sample data needed)</t>
        </is>
      </c>
      <c r="F61" s="102" t="inlineStr">
        <is>
          <t/>
        </is>
      </c>
      <c r="G61" s="104" t="str">
        <f>HYPERLINK("https://dvdaddin.dvdpm.net/en/commands/reference/btnDisconnect","Open the guide")</f>
        <v>Open the guide</v>
      </c>
    </row>
    <row r="62">
      <c r="A62" s="103">
        <v>58</v>
      </c>
      <c r="B62" s="102" t="inlineStr">
        <is>
          <t>DVD Cons</t>
        </is>
      </c>
      <c r="C62" s="102" t="inlineStr">
        <is>
          <t>Connection</t>
        </is>
      </c>
      <c r="D62" s="102" t="inlineStr">
        <is>
          <t>Send Format</t>
        </is>
      </c>
      <c r="E62" s="104" t="inlineStr">
        <is>
          <t>Send Format</t>
        </is>
      </c>
      <c r="F62" s="102" t="inlineStr">
        <is>
          <t>While in a teamwork session (the Connect button reads Joined · …), format the range the way you want on your machine, then select exactly that range — e.g. the header band A5:G5 of the Tong hop sheet .</t>
        </is>
      </c>
      <c r="G62" s="104" t="str">
        <f>HYPERLINK("https://dvdaddin.dvdpm.net/en/commands/reference/btnSyncFormat","Open the guide")</f>
        <v>Open the guide</v>
      </c>
    </row>
    <row r="63">
      <c r="A63" s="103">
        <v>59</v>
      </c>
      <c r="B63" s="102" t="inlineStr">
        <is>
          <t>DVD Cons</t>
        </is>
      </c>
      <c r="C63" s="102" t="inlineStr">
        <is>
          <t>Connection</t>
        </is>
      </c>
      <c r="D63" s="102" t="inlineStr">
        <is>
          <t>Admin</t>
        </is>
      </c>
      <c r="E63" s="105" t="inlineStr">
        <is>
          <t>— (no sample data needed)</t>
        </is>
      </c>
      <c r="F63" s="102" t="inlineStr">
        <is>
          <t/>
        </is>
      </c>
      <c r="G63" s="104" t="str">
        <f>HYPERLINK("https://dvdaddin.dvdpm.net/en/commands/reference/btnAdmin","Open the guide")</f>
        <v>Open the guide</v>
      </c>
    </row>
    <row r="64">
      <c r="A64" s="103">
        <v>60</v>
      </c>
      <c r="B64" s="102" t="inlineStr">
        <is>
          <t>DVD Cons</t>
        </is>
      </c>
      <c r="C64" s="102" t="inlineStr">
        <is>
          <t>Quick</t>
        </is>
      </c>
      <c r="D64" s="102" t="inlineStr">
        <is>
          <t>Find Cmd</t>
        </is>
      </c>
      <c r="E64" s="105" t="inlineStr">
        <is>
          <t>— (no sample data needed)</t>
        </is>
      </c>
      <c r="F64" s="102" t="inlineStr">
        <is>
          <t/>
        </is>
      </c>
      <c r="G64" s="104" t="str">
        <f>HYPERLINK("https://dvdaddin.dvdpm.net/en/commands/reference/btnQuickActions","Open the guide")</f>
        <v>Open the guide</v>
      </c>
    </row>
    <row r="65">
      <c r="A65" s="103">
        <v>61</v>
      </c>
      <c r="B65" s="102" t="inlineStr">
        <is>
          <t>DVD Addin</t>
        </is>
      </c>
      <c r="C65" s="102" t="inlineStr">
        <is>
          <t>Text and Number</t>
        </is>
      </c>
      <c r="D65" s="102" t="inlineStr">
        <is>
          <t>Numbering</t>
        </is>
      </c>
      <c r="E65" s="104" t="inlineStr">
        <is>
          <t>Numbering</t>
        </is>
      </c>
      <c r="F65" s="102" t="inlineStr">
        <is>
          <t>Select the No. column to number . The merged cell A5:A7 counts as one cell; the hidden row (row 9, e.g. filtered out) is skipped.</t>
        </is>
      </c>
      <c r="G65" s="104" t="str">
        <f>HYPERLINK("https://dvdaddin.dvdpm.net/en/commands/reference/btnNumbering","Open the guide")</f>
        <v>Open the guide</v>
      </c>
    </row>
    <row r="66">
      <c r="A66" s="103">
        <v>62</v>
      </c>
      <c r="B66" s="102" t="inlineStr">
        <is>
          <t>DVD Addin</t>
        </is>
      </c>
      <c r="C66" s="102" t="inlineStr">
        <is>
          <t>Text and Number</t>
        </is>
      </c>
      <c r="D66" s="102" t="inlineStr">
        <is>
          <t>Roman</t>
        </is>
      </c>
      <c r="E66" s="104" t="inlineStr">
        <is>
          <t>Roman</t>
        </is>
      </c>
      <c r="F66" s="102" t="inlineStr">
        <is>
          <t>Select the cells to fill with Roman numerals — here the No. column of the main sections .</t>
        </is>
      </c>
      <c r="G66" s="104" t="str">
        <f>HYPERLINK("https://dvdaddin.dvdpm.net/en/commands/reference/btnRomanSerial","Open the guide")</f>
        <v>Open the guide</v>
      </c>
    </row>
    <row r="67">
      <c r="A67" s="103">
        <v>63</v>
      </c>
      <c r="B67" s="102" t="inlineStr">
        <is>
          <t>DVD Addin</t>
        </is>
      </c>
      <c r="C67" s="102" t="inlineStr">
        <is>
          <t>Text and Number</t>
        </is>
      </c>
      <c r="D67" s="102" t="inlineStr">
        <is>
          <t>Upper letters</t>
        </is>
      </c>
      <c r="E67" s="104" t="inlineStr">
        <is>
          <t>Upper letters</t>
        </is>
      </c>
      <c r="F67" s="102" t="inlineStr">
        <is>
          <t>Select the column to fill with letters . The merged cell A6:A7 (one appendix holding two documents) counts as one cell.</t>
        </is>
      </c>
      <c r="G67" s="104" t="str">
        <f>HYPERLINK("https://dvdaddin.dvdpm.net/en/commands/reference/btnUpperLettersSerial","Open the guide")</f>
        <v>Open the guide</v>
      </c>
    </row>
    <row r="68">
      <c r="A68" s="103">
        <v>64</v>
      </c>
      <c r="B68" s="102" t="inlineStr">
        <is>
          <t>DVD Addin</t>
        </is>
      </c>
      <c r="C68" s="102" t="inlineStr">
        <is>
          <t>Text and Number</t>
        </is>
      </c>
      <c r="D68" s="102" t="inlineStr">
        <is>
          <t>Lower letters</t>
        </is>
      </c>
      <c r="E68" s="104" t="inlineStr">
        <is>
          <t>Lower letters</t>
        </is>
      </c>
      <c r="F68" s="102" t="inlineStr">
        <is>
          <t>Select the No. cells of the detail layers under item 2 .</t>
        </is>
      </c>
      <c r="G68" s="104" t="str">
        <f>HYPERLINK("https://dvdaddin.dvdpm.net/en/commands/reference/btnLowerLettersSerial","Open the guide")</f>
        <v>Open the guide</v>
      </c>
    </row>
    <row r="69">
      <c r="A69" s="103">
        <v>65</v>
      </c>
      <c r="B69" s="102" t="inlineStr">
        <is>
          <t>DVD Addin</t>
        </is>
      </c>
      <c r="C69" s="102" t="inlineStr">
        <is>
          <t>Text and Number</t>
        </is>
      </c>
      <c r="D69" s="102" t="inlineStr">
        <is>
          <t>Assign Level</t>
        </is>
      </c>
      <c r="E69" s="104" t="inlineStr">
        <is>
          <t>Assign Level</t>
        </is>
      </c>
      <c r="F69" s="102" t="inlineStr">
        <is>
          <t>Prepare the table: fill the description column with one colour per level ; build a colour legend, one cell per level, top→bottom = level 1, 2, 3 ; keep a Level column as the rightmost column for the result .</t>
        </is>
      </c>
      <c r="G69" s="104" t="str">
        <f>HYPERLINK("https://dvdaddin.dvdpm.net/en/commands/reference/btnAssignLevel","Open the guide")</f>
        <v>Open the guide</v>
      </c>
    </row>
    <row r="70">
      <c r="A70" s="103">
        <v>66</v>
      </c>
      <c r="B70" s="102" t="inlineStr">
        <is>
          <t>DVD Addin</t>
        </is>
      </c>
      <c r="C70" s="102" t="inlineStr">
        <is>
          <t>Text and Number</t>
        </is>
      </c>
      <c r="D70" s="102" t="inlineStr">
        <is>
          <t>Filled circle</t>
        </is>
      </c>
      <c r="E70" s="104" t="inlineStr">
        <is>
          <t>Filled circle</t>
        </is>
      </c>
      <c r="F70" s="102" t="inlineStr">
        <is>
          <t>Select the cells that need the bullet . In a multi-line cell (line breaks typed with Alt+Enter) every line gets the bullet.</t>
        </is>
      </c>
      <c r="G70" s="104" t="str">
        <f>HYPERLINK("https://dvdaddin.dvdpm.net/en/commands/reference/btnBlackCircle","Open the guide")</f>
        <v>Open the guide</v>
      </c>
    </row>
    <row r="71">
      <c r="A71" s="103">
        <v>67</v>
      </c>
      <c r="B71" s="102" t="inlineStr">
        <is>
          <t>DVD Addin</t>
        </is>
      </c>
      <c r="C71" s="102" t="inlineStr">
        <is>
          <t>Text and Number</t>
        </is>
      </c>
      <c r="D71" s="102" t="inlineStr">
        <is>
          <t>Filled star</t>
        </is>
      </c>
      <c r="E71" s="104" t="inlineStr">
        <is>
          <t>Filled star</t>
        </is>
      </c>
      <c r="F71" s="102" t="inlineStr">
        <is>
          <t>Select the cells to highlight — here the three hold points (H) of the ITP .</t>
        </is>
      </c>
      <c r="G71" s="104" t="str">
        <f>HYPERLINK("https://dvdaddin.dvdpm.net/en/commands/reference/btnBlackStar","Open the guide")</f>
        <v>Open the guide</v>
      </c>
    </row>
    <row r="72">
      <c r="A72" s="103">
        <v>68</v>
      </c>
      <c r="B72" s="102" t="inlineStr">
        <is>
          <t>DVD Addin</t>
        </is>
      </c>
      <c r="C72" s="102" t="inlineStr">
        <is>
          <t>Text and Number</t>
        </is>
      </c>
      <c r="D72" s="102" t="inlineStr">
        <is>
          <t>Minus</t>
        </is>
      </c>
      <c r="E72" s="104" t="inlineStr">
        <is>
          <t>Minus</t>
        </is>
      </c>
      <c r="F72" s="102" t="inlineStr">
        <is>
          <t>Select the cells that need the bullet — here two cells listing materials, one per line .</t>
        </is>
      </c>
      <c r="G72" s="104" t="str">
        <f>HYPERLINK("https://dvdaddin.dvdpm.net/en/commands/reference/btnMinusSign","Open the guide")</f>
        <v>Open the guide</v>
      </c>
    </row>
    <row r="73">
      <c r="A73" s="103">
        <v>69</v>
      </c>
      <c r="B73" s="102" t="inlineStr">
        <is>
          <t>DVD Addin</t>
        </is>
      </c>
      <c r="C73" s="102" t="inlineStr">
        <is>
          <t>Text and Number</t>
        </is>
      </c>
      <c r="D73" s="102" t="inlineStr">
        <is>
          <t>Filled diamond</t>
        </is>
      </c>
      <c r="E73" s="104" t="inlineStr">
        <is>
          <t>Filled diamond</t>
        </is>
      </c>
      <c r="F73" s="102" t="inlineStr">
        <is>
          <t>Select the cells that need the bullet — here the milestone column .</t>
        </is>
      </c>
      <c r="G73" s="104" t="str">
        <f>HYPERLINK("https://dvdaddin.dvdpm.net/en/commands/reference/btnBlackDiamond","Open the guide")</f>
        <v>Open the guide</v>
      </c>
    </row>
    <row r="74">
      <c r="A74" s="103">
        <v>70</v>
      </c>
      <c r="B74" s="102" t="inlineStr">
        <is>
          <t>DVD Addin</t>
        </is>
      </c>
      <c r="C74" s="102" t="inlineStr">
        <is>
          <t>Text and Number</t>
        </is>
      </c>
      <c r="D74" s="102" t="inlineStr">
        <is>
          <t>Plus</t>
        </is>
      </c>
      <c r="E74" s="104" t="inlineStr">
        <is>
          <t>Plus</t>
        </is>
      </c>
      <c r="F74" s="102" t="inlineStr">
        <is>
          <t>Select the cells that need the bullet — here the variation items .</t>
        </is>
      </c>
      <c r="G74" s="104" t="str">
        <f>HYPERLINK("https://dvdaddin.dvdpm.net/en/commands/reference/btnPlusSign","Open the guide")</f>
        <v>Open the guide</v>
      </c>
    </row>
    <row r="75">
      <c r="A75" s="103">
        <v>71</v>
      </c>
      <c r="B75" s="102" t="inlineStr">
        <is>
          <t>DVD Addin</t>
        </is>
      </c>
      <c r="C75" s="102" t="inlineStr">
        <is>
          <t>Text and Number</t>
        </is>
      </c>
      <c r="D75" s="102" t="inlineStr">
        <is>
          <t>Asterisk</t>
        </is>
      </c>
      <c r="E75" s="104" t="inlineStr">
        <is>
          <t>Asterisk</t>
        </is>
      </c>
      <c r="F75" s="102" t="inlineStr">
        <is>
          <t>Select the notes cell under the table — a merged cell with one condition per line .</t>
        </is>
      </c>
      <c r="G75" s="104" t="str">
        <f>HYPERLINK("https://dvdaddin.dvdpm.net/en/commands/reference/btnAsterisk","Open the guide")</f>
        <v>Open the guide</v>
      </c>
    </row>
    <row r="76">
      <c r="A76" s="103">
        <v>72</v>
      </c>
      <c r="B76" s="102" t="inlineStr">
        <is>
          <t>DVD Addin</t>
        </is>
      </c>
      <c r="C76" s="102" t="inlineStr">
        <is>
          <t>Text and Number</t>
        </is>
      </c>
      <c r="D76" s="102" t="inlineStr">
        <is>
          <t>Checkbox</t>
        </is>
      </c>
      <c r="E76" s="104" t="inlineStr">
        <is>
          <t>Checkbox</t>
        </is>
      </c>
      <c r="F76" s="102" t="inlineStr">
        <is>
          <t>Select the items to turn into a checklist .</t>
        </is>
      </c>
      <c r="G76" s="104" t="str">
        <f>HYPERLINK("https://dvdaddin.dvdpm.net/en/commands/reference/btnCheckbox","Open the guide")</f>
        <v>Open the guide</v>
      </c>
    </row>
    <row r="77">
      <c r="A77" s="103">
        <v>73</v>
      </c>
      <c r="B77" s="102" t="inlineStr">
        <is>
          <t>DVD Addin</t>
        </is>
      </c>
      <c r="C77" s="102" t="inlineStr">
        <is>
          <t>Text and Number</t>
        </is>
      </c>
      <c r="D77" s="102" t="inlineStr">
        <is>
          <t>Checked</t>
        </is>
      </c>
      <c r="E77" s="104" t="inlineStr">
        <is>
          <t>Checked</t>
        </is>
      </c>
      <c r="F77" s="102" t="inlineStr">
        <is>
          <t>Select the lines that are done — here the three documents already submitted .</t>
        </is>
      </c>
      <c r="G77" s="104" t="str">
        <f>HYPERLINK("https://dvdaddin.dvdpm.net/en/commands/reference/btnVCheckbox","Open the guide")</f>
        <v>Open the guide</v>
      </c>
    </row>
    <row r="78">
      <c r="A78" s="103">
        <v>74</v>
      </c>
      <c r="B78" s="102" t="inlineStr">
        <is>
          <t>DVD Addin</t>
        </is>
      </c>
      <c r="C78" s="102" t="inlineStr">
        <is>
          <t>Text and Number</t>
        </is>
      </c>
      <c r="D78" s="102" t="inlineStr">
        <is>
          <t>Rejected</t>
        </is>
      </c>
      <c r="E78" s="104" t="inlineStr">
        <is>
          <t>Rejected</t>
        </is>
      </c>
      <c r="F78" s="102" t="inlineStr">
        <is>
          <t>Select the items that failed .</t>
        </is>
      </c>
      <c r="G78" s="104" t="str">
        <f>HYPERLINK("https://dvdaddin.dvdpm.net/en/commands/reference/btnXCheckbox","Open the guide")</f>
        <v>Open the guide</v>
      </c>
    </row>
    <row r="79">
      <c r="A79" s="103">
        <v>75</v>
      </c>
      <c r="B79" s="102" t="inlineStr">
        <is>
          <t>DVD Addin</t>
        </is>
      </c>
      <c r="C79" s="102" t="inlineStr">
        <is>
          <t>Text and Number</t>
        </is>
      </c>
      <c r="D79" s="102" t="inlineStr">
        <is>
          <t>Remove bullets</t>
        </is>
      </c>
      <c r="E79" s="104" t="inlineStr">
        <is>
          <t>Remove bullets</t>
        </is>
      </c>
      <c r="F79" s="102" t="inlineStr">
        <is>
          <t>Select the cells whose bullets (●, −, ★, ☐…) you want to remove .</t>
        </is>
      </c>
      <c r="G79" s="104" t="str">
        <f>HYPERLINK("https://dvdaddin.dvdpm.net/en/commands/reference/btnNone_1","Open the guide")</f>
        <v>Open the guide</v>
      </c>
    </row>
    <row r="80">
      <c r="A80" s="103">
        <v>76</v>
      </c>
      <c r="B80" s="102" t="inlineStr">
        <is>
          <t>DVD Addin</t>
        </is>
      </c>
      <c r="C80" s="102" t="inlineStr">
        <is>
          <t>Text and Number</t>
        </is>
      </c>
      <c r="D80" s="102" t="inlineStr">
        <is>
          <t>Number list</t>
        </is>
      </c>
      <c r="E80" s="104" t="inlineStr">
        <is>
          <t>Number list</t>
        </is>
      </c>
      <c r="F80" s="102" t="inlineStr">
        <is>
          <t>Select the cells to number . A multi-line cell (Alt+Enter) gets one number per line.</t>
        </is>
      </c>
      <c r="G80" s="104" t="str">
        <f>HYPERLINK("https://dvdaddin.dvdpm.net/en/commands/reference/btnNumberingList","Open the guide")</f>
        <v>Open the guide</v>
      </c>
    </row>
    <row r="81">
      <c r="A81" s="103">
        <v>77</v>
      </c>
      <c r="B81" s="102" t="inlineStr">
        <is>
          <t>DVD Addin</t>
        </is>
      </c>
      <c r="C81" s="102" t="inlineStr">
        <is>
          <t>Text and Number</t>
        </is>
      </c>
      <c r="D81" s="102" t="inlineStr">
        <is>
          <t>Roman list</t>
        </is>
      </c>
      <c r="E81" s="104" t="inlineStr">
        <is>
          <t>Roman list</t>
        </is>
      </c>
      <c r="F81" s="102" t="inlineStr">
        <is>
          <t>Select the main section cells to number in Roman numerals .</t>
        </is>
      </c>
      <c r="G81" s="104" t="str">
        <f>HYPERLINK("https://dvdaddin.dvdpm.net/en/commands/reference/btnRomanList","Open the guide")</f>
        <v>Open the guide</v>
      </c>
    </row>
    <row r="82">
      <c r="A82" s="103">
        <v>78</v>
      </c>
      <c r="B82" s="102" t="inlineStr">
        <is>
          <t>DVD Addin</t>
        </is>
      </c>
      <c r="C82" s="102" t="inlineStr">
        <is>
          <t>Text and Number</t>
        </is>
      </c>
      <c r="D82" s="102" t="inlineStr">
        <is>
          <t>Upper letters list</t>
        </is>
      </c>
      <c r="E82" s="104" t="inlineStr">
        <is>
          <t>Upper letters list</t>
        </is>
      </c>
      <c r="F82" s="102" t="inlineStr">
        <is>
          <t>Select the section cells to letter .</t>
        </is>
      </c>
      <c r="G82" s="104" t="str">
        <f>HYPERLINK("https://dvdaddin.dvdpm.net/en/commands/reference/btnUpperLettersList","Open the guide")</f>
        <v>Open the guide</v>
      </c>
    </row>
    <row r="83">
      <c r="A83" s="103">
        <v>79</v>
      </c>
      <c r="B83" s="102" t="inlineStr">
        <is>
          <t>DVD Addin</t>
        </is>
      </c>
      <c r="C83" s="102" t="inlineStr">
        <is>
          <t>Text and Number</t>
        </is>
      </c>
      <c r="D83" s="102" t="inlineStr">
        <is>
          <t>Lower letters list</t>
        </is>
      </c>
      <c r="E83" s="104" t="inlineStr">
        <is>
          <t>Lower letters list</t>
        </is>
      </c>
      <c r="F83" s="102" t="inlineStr">
        <is>
          <t>Select the sub-task cells to letter .</t>
        </is>
      </c>
      <c r="G83" s="104" t="str">
        <f>HYPERLINK("https://dvdaddin.dvdpm.net/en/commands/reference/btnLowerLettersList","Open the guide")</f>
        <v>Open the guide</v>
      </c>
    </row>
    <row r="84">
      <c r="A84" s="103">
        <v>80</v>
      </c>
      <c r="B84" s="102" t="inlineStr">
        <is>
          <t>DVD Addin</t>
        </is>
      </c>
      <c r="C84" s="102" t="inlineStr">
        <is>
          <t>Text and Number</t>
        </is>
      </c>
      <c r="D84" s="102" t="inlineStr">
        <is>
          <t>Remove list numbering</t>
        </is>
      </c>
      <c r="E84" s="104" t="inlineStr">
        <is>
          <t>Remove list numbering</t>
        </is>
      </c>
      <c r="F84" s="102" t="inlineStr">
        <is>
          <t>Select the cells whose numbering prefix you want to remove — here the numbers went wrong after a row was inserted (two items numbered 3) .</t>
        </is>
      </c>
      <c r="G84" s="104" t="str">
        <f>HYPERLINK("https://dvdaddin.dvdpm.net/en/commands/reference/btnNone_2","Open the guide")</f>
        <v>Open the guide</v>
      </c>
    </row>
    <row r="85">
      <c r="A85" s="103">
        <v>81</v>
      </c>
      <c r="B85" s="102" t="inlineStr">
        <is>
          <t>DVD Addin</t>
        </is>
      </c>
      <c r="C85" s="102" t="inlineStr">
        <is>
          <t>Text and Number</t>
        </is>
      </c>
      <c r="D85" s="102" t="inlineStr">
        <is>
          <t>Multilevel 1.1.1</t>
        </is>
      </c>
      <c r="E85" s="104" t="inlineStr">
        <is>
          <t>Multilevel 1.1.1</t>
        </is>
      </c>
      <c r="F85" s="102" t="inlineStr">
        <is>
          <t>Build the outline with Increase Indent on the Home tab: the smallest indent is level 1, the next one level 2… Then select the whole item column, starting from the top level .</t>
        </is>
      </c>
      <c r="G85" s="104" t="str">
        <f>HYPERLINK("https://dvdaddin.dvdpm.net/en/commands/reference/btnMultilevelNumbering","Open the guide")</f>
        <v>Open the guide</v>
      </c>
    </row>
    <row r="86">
      <c r="A86" s="103">
        <v>82</v>
      </c>
      <c r="B86" s="102" t="inlineStr">
        <is>
          <t>DVD Addin</t>
        </is>
      </c>
      <c r="C86" s="102" t="inlineStr">
        <is>
          <t>Text and Number</t>
        </is>
      </c>
      <c r="D86" s="102" t="inlineStr">
        <is>
          <t>Remove multilevel numbering</t>
        </is>
      </c>
      <c r="E86" s="104" t="inlineStr">
        <is>
          <t>Remove multilevel numbering</t>
        </is>
      </c>
      <c r="F86" s="102" t="inlineStr">
        <is>
          <t>Select the cells carrying multilevel numbers — usually before renumbering after items were inserted .</t>
        </is>
      </c>
      <c r="G86" s="104" t="str">
        <f>HYPERLINK("https://dvdaddin.dvdpm.net/en/commands/reference/btnNone_3","Open the guide")</f>
        <v>Open the guide</v>
      </c>
    </row>
    <row r="87">
      <c r="A87" s="103">
        <v>83</v>
      </c>
      <c r="B87" s="102" t="inlineStr">
        <is>
          <t>DVD Addin</t>
        </is>
      </c>
      <c r="C87" s="102" t="inlineStr">
        <is>
          <t>Text and Number</t>
        </is>
      </c>
      <c r="D87" s="102" t="inlineStr">
        <is>
          <t>Sentence case</t>
        </is>
      </c>
      <c r="E87" s="104" t="inlineStr">
        <is>
          <t>Sentence case</t>
        </is>
      </c>
      <c r="F87" s="102" t="inlineStr">
        <is>
          <t>Select the text cells to normalize, for example a work-description column typed in mixed case with extra spaces .</t>
        </is>
      </c>
      <c r="G87" s="104" t="str">
        <f>HYPERLINK("https://dvdaddin.dvdpm.net/en/commands/reference/btnSentencecase","Open the guide")</f>
        <v>Open the guide</v>
      </c>
    </row>
    <row r="88">
      <c r="A88" s="103">
        <v>84</v>
      </c>
      <c r="B88" s="102" t="inlineStr">
        <is>
          <t>DVD Addin</t>
        </is>
      </c>
      <c r="C88" s="102" t="inlineStr">
        <is>
          <t>Text and Number</t>
        </is>
      </c>
      <c r="D88" s="102" t="inlineStr">
        <is>
          <t>UPPERCASE</t>
        </is>
      </c>
      <c r="E88" s="104" t="inlineStr">
        <is>
          <t>UPPERCASE</t>
        </is>
      </c>
      <c r="F88" s="102" t="inlineStr">
        <is>
          <t>Select the cells to convert to upper case .</t>
        </is>
      </c>
      <c r="G88" s="104" t="str">
        <f>HYPERLINK("https://dvdaddin.dvdpm.net/en/commands/reference/btnUPPERCASE","Open the guide")</f>
        <v>Open the guide</v>
      </c>
    </row>
    <row r="89">
      <c r="A89" s="103">
        <v>85</v>
      </c>
      <c r="B89" s="102" t="inlineStr">
        <is>
          <t>DVD Addin</t>
        </is>
      </c>
      <c r="C89" s="102" t="inlineStr">
        <is>
          <t>Text and Number</t>
        </is>
      </c>
      <c r="D89" s="102" t="inlineStr">
        <is>
          <t>lowercase</t>
        </is>
      </c>
      <c r="E89" s="104" t="inlineStr">
        <is>
          <t>lowercase</t>
        </is>
      </c>
      <c r="F89" s="102" t="inlineStr">
        <is>
          <t>Select the cells to convert to lower case, for example a list of work items received in ALL CAPS or mixed case .</t>
        </is>
      </c>
      <c r="G89" s="104" t="str">
        <f>HYPERLINK("https://dvdaddin.dvdpm.net/en/commands/reference/btnlowercase","Open the guide")</f>
        <v>Open the guide</v>
      </c>
    </row>
    <row r="90">
      <c r="A90" s="103">
        <v>86</v>
      </c>
      <c r="B90" s="102" t="inlineStr">
        <is>
          <t>DVD Addin</t>
        </is>
      </c>
      <c r="C90" s="102" t="inlineStr">
        <is>
          <t>Text and Number</t>
        </is>
      </c>
      <c r="D90" s="102" t="inlineStr">
        <is>
          <t>Proper Case</t>
        </is>
      </c>
      <c r="E90" s="104" t="inlineStr">
        <is>
          <t>Proper Case</t>
        </is>
      </c>
      <c r="F90" s="102" t="inlineStr">
        <is>
          <t>Select the column to normalize, for example the name / company column of a site manpower list typed in mixed case .</t>
        </is>
      </c>
      <c r="G90" s="104" t="str">
        <f>HYPERLINK("https://dvdaddin.dvdpm.net/en/commands/reference/btnProperCase","Open the guide")</f>
        <v>Open the guide</v>
      </c>
    </row>
    <row r="91">
      <c r="A91" s="103">
        <v>87</v>
      </c>
      <c r="B91" s="102" t="inlineStr">
        <is>
          <t>DVD Addin</t>
        </is>
      </c>
      <c r="C91" s="102" t="inlineStr">
        <is>
          <t>Text and Number</t>
        </is>
      </c>
      <c r="D91" s="102" t="inlineStr">
        <is>
          <t>SMART case (AI)</t>
        </is>
      </c>
      <c r="E91" s="104" t="inlineStr">
        <is>
          <t>SMART case (AI)</t>
        </is>
      </c>
      <c r="F91" s="102" t="inlineStr">
        <is>
          <t>The command needs an AI service and API key set in Preferences. Select the text cells that were typed without proper capitals .</t>
        </is>
      </c>
      <c r="G91" s="104" t="str">
        <f>HYPERLINK("https://dvdaddin.dvdpm.net/en/commands/reference/btnSMARTCase","Open the guide")</f>
        <v>Open the guide</v>
      </c>
    </row>
    <row r="92">
      <c r="A92" s="103">
        <v>88</v>
      </c>
      <c r="B92" s="102" t="inlineStr">
        <is>
          <t>DVD Addin</t>
        </is>
      </c>
      <c r="C92" s="102" t="inlineStr">
        <is>
          <t>Text and Number</t>
        </is>
      </c>
      <c r="D92" s="102" t="inlineStr">
        <is>
          <t>Italic</t>
        </is>
      </c>
      <c r="E92" s="104" t="inlineStr">
        <is>
          <t>Italic</t>
        </is>
      </c>
      <c r="F92" s="102" t="inlineStr">
        <is>
          <t>Select the bilingual cells, each holding two lines separated by Alt+Enter: Vietnamese on top, English below .</t>
        </is>
      </c>
      <c r="G92" s="104" t="str">
        <f>HYPERLINK("https://dvdaddin.dvdpm.net/en/commands/reference/btnRegularItalic","Open the guide")</f>
        <v>Open the guide</v>
      </c>
    </row>
    <row r="93">
      <c r="A93" s="103">
        <v>89</v>
      </c>
      <c r="B93" s="102" t="inlineStr">
        <is>
          <t>DVD Addin</t>
        </is>
      </c>
      <c r="C93" s="102" t="inlineStr">
        <is>
          <t>Text and Number</t>
        </is>
      </c>
      <c r="D93" s="102" t="inlineStr">
        <is>
          <t>Text Reverse</t>
        </is>
      </c>
      <c r="E93" s="104" t="inlineStr">
        <is>
          <t>Text Reverse</t>
        </is>
      </c>
      <c r="F93" s="102" t="inlineStr">
        <is>
          <t>Select the cells to reverse, for example a list written as "Work item - Code" where you want the norm code first .</t>
        </is>
      </c>
      <c r="G93" s="104" t="str">
        <f>HYPERLINK("https://dvdaddin.dvdpm.net/en/commands/reference/btnTextReverse","Open the guide")</f>
        <v>Open the guide</v>
      </c>
    </row>
    <row r="94">
      <c r="A94" s="103">
        <v>90</v>
      </c>
      <c r="B94" s="102" t="inlineStr">
        <is>
          <t>DVD Addin</t>
        </is>
      </c>
      <c r="C94" s="102" t="inlineStr">
        <is>
          <t>Text and Number</t>
        </is>
      </c>
      <c r="D94" s="102" t="inlineStr">
        <is>
          <t>Font Change</t>
        </is>
      </c>
      <c r="E94" s="104" t="inlineStr">
        <is>
          <t>Font Change</t>
        </is>
      </c>
      <c r="F94" s="102" t="inlineStr">
        <is>
          <t>Select the bilingual cells whose second part needs another font, for example a header row written as Vietnamese / English .</t>
        </is>
      </c>
      <c r="G94" s="104" t="str">
        <f>HYPERLINK("https://dvdaddin.dvdpm.net/en/commands/reference/btnRegularFontChange","Open the guide")</f>
        <v>Open the guide</v>
      </c>
    </row>
    <row r="95">
      <c r="A95" s="103">
        <v>91</v>
      </c>
      <c r="B95" s="102" t="inlineStr">
        <is>
          <t>DVD Addin</t>
        </is>
      </c>
      <c r="C95" s="102" t="inlineStr">
        <is>
          <t>Text and Number</t>
        </is>
      </c>
      <c r="D95" s="102" t="inlineStr">
        <is>
          <t>Remove extra spaces</t>
        </is>
      </c>
      <c r="E95" s="104" t="inlineStr">
        <is>
          <t>Remove extra spaces</t>
        </is>
      </c>
      <c r="F95" s="102" t="inlineStr">
        <is>
          <t>Select the text to clean, for example a work-item column pasted from an estimate with extra spaces at the start, the end and in between . The =LEN(B2) column shows spaces you cannot see.</t>
        </is>
      </c>
      <c r="G95" s="104" t="str">
        <f>HYPERLINK("https://dvdaddin.dvdpm.net/en/commands/reference/btnRemoveSpaces","Open the guide")</f>
        <v>Open the guide</v>
      </c>
    </row>
    <row r="96">
      <c r="A96" s="103">
        <v>92</v>
      </c>
      <c r="B96" s="102" t="inlineStr">
        <is>
          <t>DVD Addin</t>
        </is>
      </c>
      <c r="C96" s="102" t="inlineStr">
        <is>
          <t>Text and Number</t>
        </is>
      </c>
      <c r="D96" s="102" t="inlineStr">
        <is>
          <t>Add text</t>
        </is>
      </c>
      <c r="E96" s="104" t="inlineStr">
        <is>
          <t>Add text</t>
        </is>
      </c>
      <c r="F96" s="102" t="inlineStr">
        <is>
          <t>Select the cells that need the extra text, for example the work items of footing M1 that need the item code as a prefix .</t>
        </is>
      </c>
      <c r="G96" s="104" t="str">
        <f>HYPERLINK("https://dvdaddin.dvdpm.net/en/commands/reference/btnAddText","Open the guide")</f>
        <v>Open the guide</v>
      </c>
    </row>
    <row r="97">
      <c r="A97" s="103">
        <v>93</v>
      </c>
      <c r="B97" s="102" t="inlineStr">
        <is>
          <t>DVD Addin</t>
        </is>
      </c>
      <c r="C97" s="102" t="inlineStr">
        <is>
          <t>Text and Number</t>
        </is>
      </c>
      <c r="D97" s="102" t="inlineStr">
        <is>
          <t>Remove accents</t>
        </is>
      </c>
      <c r="E97" s="104" t="inlineStr">
        <is>
          <t>Remove accents</t>
        </is>
      </c>
      <c r="F97" s="102" t="inlineStr">
        <is>
          <t>Select the accented text cells, for example item names that will be used as folder names for the acceptance records .</t>
        </is>
      </c>
      <c r="G97" s="104" t="str">
        <f>HYPERLINK("https://dvdaddin.dvdpm.net/en/commands/reference/btnRemoveAccents","Open the guide")</f>
        <v>Open the guide</v>
      </c>
    </row>
    <row r="98">
      <c r="A98" s="103">
        <v>94</v>
      </c>
      <c r="B98" s="102" t="inlineStr">
        <is>
          <t>DVD Addin</t>
        </is>
      </c>
      <c r="C98" s="102" t="inlineStr">
        <is>
          <t>Text and Number</t>
        </is>
      </c>
      <c r="D98" s="102" t="inlineStr">
        <is>
          <t>Add accents (AI)</t>
        </is>
      </c>
      <c r="E98" s="104" t="inlineStr">
        <is>
          <t>Add accents (AI)</t>
        </is>
      </c>
      <c r="F98" s="102" t="inlineStr">
        <is>
          <t>The command needs an AI service and API key configured in Preferences. Select the column typed without Vietnamese accents, for example a site diary typed on a phone ; cells that already have accents are skipped.</t>
        </is>
      </c>
      <c r="G98" s="104" t="str">
        <f>HYPERLINK("https://dvdaddin.dvdpm.net/en/commands/reference/btnAddAccents","Open the guide")</f>
        <v>Open the guide</v>
      </c>
    </row>
    <row r="99">
      <c r="A99" s="103">
        <v>95</v>
      </c>
      <c r="B99" s="102" t="inlineStr">
        <is>
          <t>DVD Addin</t>
        </is>
      </c>
      <c r="C99" s="102" t="inlineStr">
        <is>
          <t>Text and Number</t>
        </is>
      </c>
      <c r="D99" s="102" t="inlineStr">
        <is>
          <t>Auto format</t>
        </is>
      </c>
      <c r="E99" s="104" t="inlineStr">
        <is>
          <t>Auto format</t>
        </is>
      </c>
      <c r="F99" s="102" t="inlineStr">
        <is>
          <t>Select the quantity and date columns that are stored as text (left-aligned) — which is why the SUM in the Total row returns 0 .</t>
        </is>
      </c>
      <c r="G99" s="104" t="str">
        <f>HYPERLINK("https://dvdaddin.dvdpm.net/en/commands/reference/btnFormatAuto","Open the guide")</f>
        <v>Open the guide</v>
      </c>
    </row>
    <row r="100">
      <c r="A100" s="103">
        <v>96</v>
      </c>
      <c r="B100" s="102" t="inlineStr">
        <is>
          <t>DVD Addin</t>
        </is>
      </c>
      <c r="C100" s="102" t="inlineStr">
        <is>
          <t>Text and Number</t>
        </is>
      </c>
      <c r="D100" s="102" t="inlineStr">
        <is>
          <t>Superscript</t>
        </is>
      </c>
      <c r="E100" s="104" t="inlineStr">
        <is>
          <t>Superscript</t>
        </is>
      </c>
      <c r="F100" s="102" t="inlineStr">
        <is>
          <t>Select the unit column of the bill of quantities (or any range that contains units) .</t>
        </is>
      </c>
      <c r="G100" s="104" t="str">
        <f>HYPERLINK("https://dvdaddin.dvdpm.net/en/commands/reference/btnSuperscript","Open the guide")</f>
        <v>Open the guide</v>
      </c>
    </row>
    <row r="101">
      <c r="A101" s="103">
        <v>97</v>
      </c>
      <c r="B101" s="102" t="inlineStr">
        <is>
          <t>DVD Addin</t>
        </is>
      </c>
      <c r="C101" s="102" t="inlineStr">
        <is>
          <t>Text and Number</t>
        </is>
      </c>
      <c r="D101" s="102" t="inlineStr">
        <is>
          <t>Subscript</t>
        </is>
      </c>
      <c r="E101" s="104" t="inlineStr">
        <is>
          <t>Subscript</t>
        </is>
      </c>
      <c r="F101" s="102" t="inlineStr">
        <is>
          <t>Select the cells holding chemical formulas, for example a list of mixing-water components and test items — cells where formulas sit inside a sentence are fine too.</t>
        </is>
      </c>
      <c r="G101" s="104" t="str">
        <f>HYPERLINK("https://dvdaddin.dvdpm.net/en/commands/reference/btnSubscript","Open the guide")</f>
        <v>Open the guide</v>
      </c>
    </row>
    <row r="102">
      <c r="A102" s="103">
        <v>98</v>
      </c>
      <c r="B102" s="102" t="inlineStr">
        <is>
          <t>DVD Addin</t>
        </is>
      </c>
      <c r="C102" s="102" t="inlineStr">
        <is>
          <t>Text and Number</t>
        </is>
      </c>
      <c r="D102" s="102" t="inlineStr">
        <is>
          <t>Bulk find / replace…</t>
        </is>
      </c>
      <c r="E102" s="104" t="inlineStr">
        <is>
          <t>Bulk find - replace…</t>
        </is>
      </c>
      <c r="F102" s="102" t="inlineStr">
        <is>
          <t>Open the sheet to fix. In the estimate below several lines use the abbreviation RC , which must read "Reinforced concrete" in the printed submission.</t>
        </is>
      </c>
      <c r="G102" s="104" t="str">
        <f>HYPERLINK("https://dvdaddin.dvdpm.net/en/commands/reference/btnBulkFindReplace","Open the guide")</f>
        <v>Open the guide</v>
      </c>
    </row>
    <row r="103">
      <c r="A103" s="103">
        <v>99</v>
      </c>
      <c r="B103" s="102" t="inlineStr">
        <is>
          <t>DVD Addin</t>
        </is>
      </c>
      <c r="C103" s="102" t="inlineStr">
        <is>
          <t>Text and Number</t>
        </is>
      </c>
      <c r="D103" s="102" t="inlineStr">
        <is>
          <t>Smart Data Cleaning…</t>
        </is>
      </c>
      <c r="E103" s="104" t="inlineStr">
        <is>
          <t>Smart Data Cleaning…</t>
        </is>
      </c>
      <c r="F103" s="102" t="inlineStr">
        <is>
          <t>Select the whole table to clean, header row included . The example is a material list merged from several files: stray spaces, inconsistent capitals and two rows entered twice.</t>
        </is>
      </c>
      <c r="G103" s="104" t="str">
        <f>HYPERLINK("https://dvdaddin.dvdpm.net/en/commands/reference/btnDataCleaning","Open the guide")</f>
        <v>Open the guide</v>
      </c>
    </row>
    <row r="104">
      <c r="A104" s="103">
        <v>100</v>
      </c>
      <c r="B104" s="102" t="inlineStr">
        <is>
          <t>DVD Addin</t>
        </is>
      </c>
      <c r="C104" s="102" t="inlineStr">
        <is>
          <t>Text and Number</t>
        </is>
      </c>
      <c r="D104" s="102" t="inlineStr">
        <is>
          <t>Encoding</t>
        </is>
      </c>
      <c r="E104" s="104" t="inlineStr">
        <is>
          <t>Encoding</t>
        </is>
      </c>
      <c r="F104" s="102" t="inlineStr">
        <is>
          <t>Select the range to convert . This old quantity table was typed in the VNI-Times font; on a machine without that font the text shows up as garbled characters.</t>
        </is>
      </c>
      <c r="G104" s="104" t="str">
        <f>HYPERLINK("https://dvdaddin.dvdpm.net/en/commands/reference/btnConvert","Open the guide")</f>
        <v>Open the guide</v>
      </c>
    </row>
    <row r="105">
      <c r="A105" s="103">
        <v>101</v>
      </c>
      <c r="B105" s="102" t="inlineStr">
        <is>
          <t>DVD Addin</t>
        </is>
      </c>
      <c r="C105" s="102" t="inlineStr">
        <is>
          <t>Text and Number</t>
        </is>
      </c>
      <c r="D105" s="102" t="inlineStr">
        <is>
          <t>To Unicode</t>
        </is>
      </c>
      <c r="E105" s="104" t="inlineStr">
        <is>
          <t>To Unicode</t>
        </is>
      </c>
      <c r="F105" s="102" t="inlineStr">
        <is>
          <t>Select the cells with garbled text . This table was typed in the .VnTime font (TCVN3); opened on a machine without that font it shows characters like C«ng t¸c.</t>
        </is>
      </c>
      <c r="G105" s="104" t="str">
        <f>HYPERLINK("https://dvdaddin.dvdpm.net/en/commands/reference/btnConvertUNI","Open the guide")</f>
        <v>Open the guide</v>
      </c>
    </row>
    <row r="106">
      <c r="A106" s="103">
        <v>102</v>
      </c>
      <c r="B106" s="102" t="inlineStr">
        <is>
          <t>DVD Addin</t>
        </is>
      </c>
      <c r="C106" s="102" t="inlineStr">
        <is>
          <t>Text and Number</t>
        </is>
      </c>
      <c r="D106" s="102" t="inlineStr">
        <is>
          <t>To VNI</t>
        </is>
      </c>
      <c r="E106" s="104" t="inlineStr">
        <is>
          <t>To VNI</t>
        </is>
      </c>
      <c r="F106" s="102" t="inlineStr">
        <is>
          <t>Select the description column that must go into a template using the VNI-Times font .</t>
        </is>
      </c>
      <c r="G106" s="104" t="str">
        <f>HYPERLINK("https://dvdaddin.dvdpm.net/en/commands/reference/btnConvertVNI","Open the guide")</f>
        <v>Open the guide</v>
      </c>
    </row>
    <row r="107">
      <c r="A107" s="103">
        <v>103</v>
      </c>
      <c r="B107" s="102" t="inlineStr">
        <is>
          <t>DVD Addin</t>
        </is>
      </c>
      <c r="C107" s="102" t="inlineStr">
        <is>
          <t>Text and Number</t>
        </is>
      </c>
      <c r="D107" s="102" t="inlineStr">
        <is>
          <t>To TCVN3</t>
        </is>
      </c>
      <c r="E107" s="104" t="inlineStr">
        <is>
          <t>To TCVN3</t>
        </is>
      </c>
      <c r="F107" s="102" t="inlineStr">
        <is>
          <t>Select the work-description column that goes into an old template using the .VnTime font .</t>
        </is>
      </c>
      <c r="G107" s="104" t="str">
        <f>HYPERLINK("https://dvdaddin.dvdpm.net/en/commands/reference/btnConvertTCVN3","Open the guide")</f>
        <v>Open the guide</v>
      </c>
    </row>
    <row r="108">
      <c r="A108" s="103">
        <v>104</v>
      </c>
      <c r="B108" s="102" t="inlineStr">
        <is>
          <t>DVD Addin</t>
        </is>
      </c>
      <c r="C108" s="102" t="inlineStr">
        <is>
          <t>Text and Number</t>
        </is>
      </c>
      <c r="D108" s="102" t="inlineStr">
        <is>
          <t>Translate</t>
        </is>
      </c>
      <c r="E108" s="104" t="inlineStr">
        <is>
          <t>Translate</t>
        </is>
      </c>
      <c r="F108" s="102" t="inlineStr">
        <is>
          <t>Select the cells to translate — here the description column of a bill of quantities written in English by a foreign consultant.</t>
        </is>
      </c>
      <c r="G108" s="104" t="str">
        <f>HYPERLINK("https://dvdaddin.dvdpm.net/en/commands/reference/btnTranslate","Open the guide")</f>
        <v>Open the guide</v>
      </c>
    </row>
    <row r="109">
      <c r="A109" s="103">
        <v>105</v>
      </c>
      <c r="B109" s="102" t="inlineStr">
        <is>
          <t>DVD Addin</t>
        </is>
      </c>
      <c r="C109" s="102" t="inlineStr">
        <is>
          <t>Text and Number</t>
        </is>
      </c>
      <c r="D109" s="102" t="inlineStr">
        <is>
          <t>Quick Input</t>
        </is>
      </c>
      <c r="E109" s="104" t="inlineStr">
        <is>
          <t>Quick Input</t>
        </is>
      </c>
      <c r="F109" s="102" t="inlineStr">
        <is>
          <t>Put the cursor in the cell to fill, below a column that already has data — here the Work item cell of a new diary row.</t>
        </is>
      </c>
      <c r="G109" s="104" t="str">
        <f>HYPERLINK("https://dvdaddin.dvdpm.net/en/commands/reference/btnQuickInput","Open the guide")</f>
        <v>Open the guide</v>
      </c>
    </row>
    <row r="110">
      <c r="A110" s="103">
        <v>106</v>
      </c>
      <c r="B110" s="102" t="inlineStr">
        <is>
          <t>DVD Addin</t>
        </is>
      </c>
      <c r="C110" s="102" t="inlineStr">
        <is>
          <t>Text and Number</t>
        </is>
      </c>
      <c r="D110" s="102" t="inlineStr">
        <is>
          <t>Auto-suggest on cell select</t>
        </is>
      </c>
      <c r="E110" s="104" t="inlineStr">
        <is>
          <t>Auto-suggest on cell select</t>
        </is>
      </c>
      <c r="F110" s="102" t="inlineStr">
        <is>
          <t>The button turns on and the status bar shows Quick Input: ON for about 5 seconds . From now on, selecting a cell in the trigger column of a rule set up in Configure source ranges… pops the suggestion window up by itself: type to filter, Enter to insert, Esc to dismiss.</t>
        </is>
      </c>
      <c r="G110" s="104" t="str">
        <f>HYPERLINK("https://dvdaddin.dvdpm.net/en/commands/reference/ToggleAutoInput","Open the guide")</f>
        <v>Open the guide</v>
      </c>
    </row>
    <row r="111">
      <c r="A111" s="103">
        <v>107</v>
      </c>
      <c r="B111" s="102" t="inlineStr">
        <is>
          <t>DVD Addin</t>
        </is>
      </c>
      <c r="C111" s="102" t="inlineStr">
        <is>
          <t>Text and Number</t>
        </is>
      </c>
      <c r="D111" s="102" t="inlineStr">
        <is>
          <t>Configure source ranges…</t>
        </is>
      </c>
      <c r="E111" s="104" t="inlineStr">
        <is>
          <t>Configure source ranges…</t>
        </is>
      </c>
      <c r="F111" s="102" t="inlineStr">
        <is>
          <t>Prepare the catalogue table that will be the source, with a header row — here the Catalogue sheet with Code, Material, Unit, Unit price.</t>
        </is>
      </c>
      <c r="G111" s="104" t="str">
        <f>HYPERLINK("https://dvdaddin.dvdpm.net/en/commands/reference/btnQuickInputSources","Open the guide")</f>
        <v>Open the guide</v>
      </c>
    </row>
    <row r="112">
      <c r="A112" s="103">
        <v>108</v>
      </c>
      <c r="B112" s="102" t="inlineStr">
        <is>
          <t>DVD Addin</t>
        </is>
      </c>
      <c r="C112" s="102" t="inlineStr">
        <is>
          <t>Cells and Rows</t>
        </is>
      </c>
      <c r="D112" s="102" t="inlineStr">
        <is>
          <t>Insert Rows</t>
        </is>
      </c>
      <c r="E112" s="104" t="inlineStr">
        <is>
          <t>Insert Rows</t>
        </is>
      </c>
      <c r="F112" s="102" t="inlineStr">
        <is>
          <t>Click a cell in the row where the new rows should go — they are inserted above that row. For example, to add 3 items before row 6, select any cell in row 6, such as B6 .</t>
        </is>
      </c>
      <c r="G112" s="104" t="str">
        <f>HYPERLINK("https://dvdaddin.dvdpm.net/en/commands/reference/btnInsertMultipleRows","Open the guide")</f>
        <v>Open the guide</v>
      </c>
    </row>
    <row r="113">
      <c r="A113" s="103">
        <v>109</v>
      </c>
      <c r="B113" s="102" t="inlineStr">
        <is>
          <t>DVD Addin</t>
        </is>
      </c>
      <c r="C113" s="102" t="inlineStr">
        <is>
          <t>Cells and Rows</t>
        </is>
      </c>
      <c r="D113" s="102" t="inlineStr">
        <is>
          <t>Insert Columns</t>
        </is>
      </c>
      <c r="E113" s="104" t="inlineStr">
        <is>
          <t>Insert Columns</t>
        </is>
      </c>
      <c r="F113" s="102" t="inlineStr">
        <is>
          <t>Click a cell in the column that the new columns should go before. For example, to add 4 columns for 4 payment rounds before Contract qty, select cell D3 .</t>
        </is>
      </c>
      <c r="G113" s="104" t="str">
        <f>HYPERLINK("https://dvdaddin.dvdpm.net/en/commands/reference/btnInsertMultipleColumns","Open the guide")</f>
        <v>Open the guide</v>
      </c>
    </row>
    <row r="114">
      <c r="A114" s="103">
        <v>110</v>
      </c>
      <c r="B114" s="102" t="inlineStr">
        <is>
          <t>DVD Addin</t>
        </is>
      </c>
      <c r="C114" s="102" t="inlineStr">
        <is>
          <t>Cells and Rows</t>
        </is>
      </c>
      <c r="D114" s="102" t="inlineStr">
        <is>
          <t>Insert and Copy</t>
        </is>
      </c>
      <c r="E114" s="104" t="inlineStr">
        <is>
          <t>Insert and Copy</t>
        </is>
      </c>
      <c r="F114" s="102" t="inlineStr">
        <is>
          <t>The first range box asks Select source area: drag over the template rows — here A8:D10 with Materials / Labour / Plant — then click OK.</t>
        </is>
      </c>
      <c r="G114" s="104" t="str">
        <f>HYPERLINK("https://dvdaddin.dvdpm.net/en/commands/reference/btnInsertCopyBelow","Open the guide")</f>
        <v>Open the guide</v>
      </c>
    </row>
    <row r="115">
      <c r="A115" s="103">
        <v>111</v>
      </c>
      <c r="B115" s="102" t="inlineStr">
        <is>
          <t>DVD Addin</t>
        </is>
      </c>
      <c r="C115" s="102" t="inlineStr">
        <is>
          <t>Cells and Rows</t>
        </is>
      </c>
      <c r="D115" s="102" t="inlineStr">
        <is>
          <t>Delete blanks</t>
        </is>
      </c>
      <c r="E115" s="104" t="inlineStr">
        <is>
          <t>Delete blanks</t>
        </is>
      </c>
      <c r="F115" s="102" t="inlineStr">
        <is>
          <t>The range box asks Select data range to delete blank rows: drag over the table, here A4:D12 , then click OK. Every row of the range with no data at all will be deleted.</t>
        </is>
      </c>
      <c r="G115" s="104" t="str">
        <f>HYPERLINK("https://dvdaddin.dvdpm.net/en/commands/reference/btnDeleteBlankRows","Open the guide")</f>
        <v>Open the guide</v>
      </c>
    </row>
    <row r="116">
      <c r="A116" s="103">
        <v>112</v>
      </c>
      <c r="B116" s="102" t="inlineStr">
        <is>
          <t>DVD Addin</t>
        </is>
      </c>
      <c r="C116" s="102" t="inlineStr">
        <is>
          <t>Cells and Rows</t>
        </is>
      </c>
      <c r="D116" s="102" t="inlineStr">
        <is>
          <t>Delete hidden rows</t>
        </is>
      </c>
      <c r="E116" s="104" t="inlineStr">
        <is>
          <t>Delete hidden rows</t>
        </is>
      </c>
      <c r="F116" s="102" t="inlineStr">
        <is>
          <t>Hide the rows you do not want to keep — usually with AutoFilter. For example, filter the Package column to Steelwork only: the rows of other packages become hidden. Work on a copy of the original file.</t>
        </is>
      </c>
      <c r="G116" s="104" t="str">
        <f>HYPERLINK("https://dvdaddin.dvdpm.net/en/commands/reference/btnDeleteHiddenRows","Open the guide")</f>
        <v>Open the guide</v>
      </c>
    </row>
    <row r="117">
      <c r="A117" s="103">
        <v>113</v>
      </c>
      <c r="B117" s="102" t="inlineStr">
        <is>
          <t>DVD Addin</t>
        </is>
      </c>
      <c r="C117" s="102" t="inlineStr">
        <is>
          <t>Cells and Rows</t>
        </is>
      </c>
      <c r="D117" s="102" t="inlineStr">
        <is>
          <t>Delete unused formats</t>
        </is>
      </c>
      <c r="E117" s="104" t="inlineStr">
        <is>
          <t>Delete unused formats</t>
        </is>
      </c>
      <c r="F117" s="102" t="inlineStr">
        <is>
          <t>Open the sheet to clean — the command works on the active sheet only, no selection needed. Here the real data ends at E8, but borders and fills run on beyond it , so Ctrl+End jumps far away, the file is heavy and prints blank pages.</t>
        </is>
      </c>
      <c r="G117" s="104" t="str">
        <f>HYPERLINK("https://dvdaddin.dvdpm.net/en/commands/reference/btnDeleteUnusedFormats","Open the guide")</f>
        <v>Open the guide</v>
      </c>
    </row>
    <row r="118">
      <c r="A118" s="103">
        <v>114</v>
      </c>
      <c r="B118" s="102" t="inlineStr">
        <is>
          <t>DVD Addin</t>
        </is>
      </c>
      <c r="C118" s="102" t="inlineStr">
        <is>
          <t>Cells and Rows</t>
        </is>
      </c>
      <c r="D118" s="102" t="inlineStr">
        <is>
          <t>Delete error Defined Names</t>
        </is>
      </c>
      <c r="E118" s="105" t="inlineStr">
        <is>
          <t>— (no sample data needed)</t>
        </is>
      </c>
      <c r="F118" s="102" t="inlineStr">
        <is>
          <t/>
        </is>
      </c>
      <c r="G118" s="104" t="str">
        <f>HYPERLINK("https://dvdaddin.dvdpm.net/en/commands/reference/btnDeleteErrorName","Open the guide")</f>
        <v>Open the guide</v>
      </c>
    </row>
    <row r="119">
      <c r="A119" s="103">
        <v>115</v>
      </c>
      <c r="B119" s="102" t="inlineStr">
        <is>
          <t>DVD Addin</t>
        </is>
      </c>
      <c r="C119" s="102" t="inlineStr">
        <is>
          <t>Cells and Rows</t>
        </is>
      </c>
      <c r="D119" s="102" t="inlineStr">
        <is>
          <t>Strip junk styles</t>
        </is>
      </c>
      <c r="E119" s="105" t="inlineStr">
        <is>
          <t>— (no sample data needed)</t>
        </is>
      </c>
      <c r="F119" s="102" t="inlineStr">
        <is>
          <t/>
        </is>
      </c>
      <c r="G119" s="104" t="str">
        <f>HYPERLINK("https://dvdaddin.dvdpm.net/en/commands/reference/btnDeleteCellStyles","Open the guide")</f>
        <v>Open the guide</v>
      </c>
    </row>
    <row r="120">
      <c r="A120" s="103">
        <v>116</v>
      </c>
      <c r="B120" s="102" t="inlineStr">
        <is>
          <t>DVD Addin</t>
        </is>
      </c>
      <c r="C120" s="102" t="inlineStr">
        <is>
          <t>Cells and Rows</t>
        </is>
      </c>
      <c r="D120" s="102" t="inlineStr">
        <is>
          <t>Merge keep data</t>
        </is>
      </c>
      <c r="E120" s="104" t="inlineStr">
        <is>
          <t>Merge keep data</t>
        </is>
      </c>
      <c r="F120" s="102" t="inlineStr">
        <is>
          <t>Select the cells to merge, for example the three description lines B4:B6 . You can Ctrl-select several separate ranges — each one becomes its own merged cell.</t>
        </is>
      </c>
      <c r="G120" s="104" t="str">
        <f>HYPERLINK("https://dvdaddin.dvdpm.net/en/commands/reference/btnMergeKeepData","Open the guide")</f>
        <v>Open the guide</v>
      </c>
    </row>
    <row r="121">
      <c r="A121" s="103">
        <v>117</v>
      </c>
      <c r="B121" s="102" t="inlineStr">
        <is>
          <t>DVD Addin</t>
        </is>
      </c>
      <c r="C121" s="102" t="inlineStr">
        <is>
          <t>Cells and Rows</t>
        </is>
      </c>
      <c r="D121" s="102" t="inlineStr">
        <is>
          <t>Merge similar</t>
        </is>
      </c>
      <c r="E121" s="104" t="inlineStr">
        <is>
          <t>Merge similar</t>
        </is>
      </c>
      <c r="F121" s="102" t="inlineStr">
        <is>
          <t>Select the range to merge — preferably a single column, such as the member column A4:A9 . A multi-column range is walked row by row, so cells can get merged with their neighbours.</t>
        </is>
      </c>
      <c r="G121" s="104" t="str">
        <f>HYPERLINK("https://dvdaddin.dvdpm.net/en/commands/reference/btnMergeSimilarCells","Open the guide")</f>
        <v>Open the guide</v>
      </c>
    </row>
    <row r="122">
      <c r="A122" s="103">
        <v>118</v>
      </c>
      <c r="B122" s="102" t="inlineStr">
        <is>
          <t>DVD Addin</t>
        </is>
      </c>
      <c r="C122" s="102" t="inlineStr">
        <is>
          <t>Cells and Rows</t>
        </is>
      </c>
      <c r="D122" s="102" t="inlineStr">
        <is>
          <t>Merge rows by key</t>
        </is>
      </c>
      <c r="E122" s="104" t="inlineStr">
        <is>
          <t>Merge rows by key</t>
        </is>
      </c>
      <c r="F122" s="102" t="inlineStr">
        <is>
          <t>The range box asks Please select a range: drag over the data block without the header row, for example A4:C9 , then click OK. The first column is always the key; the range needs at least 2 columns × 2 rows.</t>
        </is>
      </c>
      <c r="G122" s="104" t="str">
        <f>HYPERLINK("https://dvdaddin.dvdpm.net/en/commands/reference/btnMergeRows","Open the guide")</f>
        <v>Open the guide</v>
      </c>
    </row>
    <row r="123">
      <c r="A123" s="103">
        <v>119</v>
      </c>
      <c r="B123" s="102" t="inlineStr">
        <is>
          <t>DVD Addin</t>
        </is>
      </c>
      <c r="C123" s="102" t="inlineStr">
        <is>
          <t>Cells and Rows</t>
        </is>
      </c>
      <c r="D123" s="102" t="inlineStr">
        <is>
          <t>Auto group</t>
        </is>
      </c>
      <c r="E123" s="104" t="inlineStr">
        <is>
          <t>Auto group</t>
        </is>
      </c>
      <c r="F123" s="102" t="inlineStr">
        <is>
          <t>The table needs a column of outline numbers (1, 1.1, 1.1.1…) or integer levels (1, 2, 3). Select that column first, for example A4:A13 , so the window fills the range in for you.</t>
        </is>
      </c>
      <c r="G123" s="104" t="str">
        <f>HYPERLINK("https://dvdaddin.dvdpm.net/en/commands/reference/btnAutoGroup","Open the guide")</f>
        <v>Open the guide</v>
      </c>
    </row>
    <row r="124">
      <c r="A124" s="103">
        <v>120</v>
      </c>
      <c r="B124" s="102" t="inlineStr">
        <is>
          <t>DVD Addin</t>
        </is>
      </c>
      <c r="C124" s="102" t="inlineStr">
        <is>
          <t>Cells and Rows</t>
        </is>
      </c>
      <c r="D124" s="102" t="inlineStr">
        <is>
          <t>AutoFit merged</t>
        </is>
      </c>
      <c r="E124" s="104" t="inlineStr">
        <is>
          <t>AutoFit merged</t>
        </is>
      </c>
      <c r="F124" s="102" t="inlineStr">
        <is>
          <t>Select the range holding the merged cells to fit — the whole form is fine, plain rows and merged rows alike . Here the merged cells B4:F4 and B8:F8 show only one line of text, so the rest would be lost in print.</t>
        </is>
      </c>
      <c r="G124" s="104" t="str">
        <f>HYPERLINK("https://dvdaddin.dvdpm.net/en/commands/reference/btnAutoFitMerge","Open the guide")</f>
        <v>Open the guide</v>
      </c>
    </row>
    <row r="125">
      <c r="A125" s="103">
        <v>121</v>
      </c>
      <c r="B125" s="102" t="inlineStr">
        <is>
          <t>DVD Addin</t>
        </is>
      </c>
      <c r="C125" s="102" t="inlineStr">
        <is>
          <t>Cells and Rows</t>
        </is>
      </c>
      <c r="D125" s="102" t="inlineStr">
        <is>
          <t>Select visible</t>
        </is>
      </c>
      <c r="E125" s="104" t="inlineStr">
        <is>
          <t>Select visible</t>
        </is>
      </c>
      <c r="F125" s="102" t="inlineStr">
        <is>
          <t>Filter (AutoFilter) or hide rows as usual, then select the data range to work on — for example a bill of quantities filtered to Superstructure (rows 4–5, 8 and 11 are hidden): select A3:E11 .</t>
        </is>
      </c>
      <c r="G125" s="104" t="str">
        <f>HYPERLINK("https://dvdaddin.dvdpm.net/en/commands/reference/btnSelectVisible","Open the guide")</f>
        <v>Open the guide</v>
      </c>
    </row>
    <row r="126">
      <c r="A126" s="103">
        <v>122</v>
      </c>
      <c r="B126" s="102" t="inlineStr">
        <is>
          <t>DVD Addin</t>
        </is>
      </c>
      <c r="C126" s="102" t="inlineStr">
        <is>
          <t>Cells and Rows</t>
        </is>
      </c>
      <c r="D126" s="102" t="inlineStr">
        <is>
          <t>Copy/Paste visible</t>
        </is>
      </c>
      <c r="E126" s="104" t="inlineStr">
        <is>
          <t>Copy-Paste visible</t>
        </is>
      </c>
      <c r="F126" s="102" t="inlineStr">
        <is>
          <t>Filter or hide rows on the target sheet (and on the source sheet if needed) so only the part to process is visible — for example filter the Level column of the Acceptance sheet to Level 5: the Level 4 rows (4, 6, 8, 10) are hidden.</t>
        </is>
      </c>
      <c r="G126" s="104" t="str">
        <f>HYPERLINK("https://dvdaddin.dvdpm.net/en/commands/reference/btnCopyPasteVisible","Open the guide")</f>
        <v>Open the guide</v>
      </c>
    </row>
    <row r="127">
      <c r="A127" s="103">
        <v>123</v>
      </c>
      <c r="B127" s="102" t="inlineStr">
        <is>
          <t>DVD Addin</t>
        </is>
      </c>
      <c r="C127" s="102" t="inlineStr">
        <is>
          <t>Cells and Rows</t>
        </is>
      </c>
      <c r="D127" s="102" t="inlineStr">
        <is>
          <t>Join Text</t>
        </is>
      </c>
      <c r="E127" s="104" t="inlineStr">
        <is>
          <t>Join Text</t>
        </is>
      </c>
      <c r="F127" s="102" t="inlineStr">
        <is>
          <t>Select the cells whose values you want to join, for example the form sheet codes B2:B4 . Blank cells in the range are skipped.</t>
        </is>
      </c>
      <c r="G127" s="104" t="str">
        <f>HYPERLINK("https://dvdaddin.dvdpm.net/en/commands/reference/btnGetSheetPrint","Open the guide")</f>
        <v>Open the guide</v>
      </c>
    </row>
    <row r="128">
      <c r="A128" s="103">
        <v>124</v>
      </c>
      <c r="B128" s="102" t="inlineStr">
        <is>
          <t>DVD Addin</t>
        </is>
      </c>
      <c r="C128" s="102" t="inlineStr">
        <is>
          <t>Cells and Rows</t>
        </is>
      </c>
      <c r="D128" s="102" t="inlineStr">
        <is>
          <t>Join Merged</t>
        </is>
      </c>
      <c r="E128" s="104" t="inlineStr">
        <is>
          <t>Join Merged</t>
        </is>
      </c>
      <c r="F128" s="102" t="inlineStr">
        <is>
          <t>Select the range holding the merged cells whose addresses you need — here the two cells that change per batch print, Work item and Location: B4:D5 . Empty cells are skipped.</t>
        </is>
      </c>
      <c r="G128" s="104" t="str">
        <f>HYPERLINK("https://dvdaddin.dvdpm.net/en/commands/reference/btnGetCellMerge","Open the guide")</f>
        <v>Open the guide</v>
      </c>
    </row>
    <row r="129">
      <c r="A129" s="103">
        <v>125</v>
      </c>
      <c r="B129" s="102" t="inlineStr">
        <is>
          <t>DVD Addin</t>
        </is>
      </c>
      <c r="C129" s="102" t="inlineStr">
        <is>
          <t>Formula</t>
        </is>
      </c>
      <c r="D129" s="102" t="inlineStr">
        <is>
          <t>Formula View</t>
        </is>
      </c>
      <c r="E129" s="104" t="inlineStr">
        <is>
          <t>Formula View, KL Tang 4, KL Tang 5</t>
        </is>
      </c>
      <c r="F129" s="102" t="inlineStr">
        <is>
          <t>Select the cell whose formula you want to check — for example a summary quantity that returns 0 although the detail sheet has figures. The long formula in the formula bar is hard to read by eye.</t>
        </is>
      </c>
      <c r="G129" s="104" t="str">
        <f>HYPERLINK("https://dvdaddin.dvdpm.net/en/commands/reference/btnFormulaViewer","Open the guide")</f>
        <v>Open the guide</v>
      </c>
    </row>
    <row r="130">
      <c r="A130" s="103">
        <v>126</v>
      </c>
      <c r="B130" s="102" t="inlineStr">
        <is>
          <t>DVD Addin</t>
        </is>
      </c>
      <c r="C130" s="102" t="inlineStr">
        <is>
          <t>Formula</t>
        </is>
      </c>
      <c r="D130" s="102" t="inlineStr">
        <is>
          <t>Lookup Trace</t>
        </is>
      </c>
      <c r="E130" s="104" t="inlineStr">
        <is>
          <t>Lookup Trace, RATES</t>
        </is>
      </c>
      <c r="F130" s="102" t="inlineStr">
        <is>
          <t>Select one cell that holds a lookup formula — for example a unit rate pulled with VLOOKUP from the rates sheet. The formula shows in the formula bar .</t>
        </is>
      </c>
      <c r="G130" s="104" t="str">
        <f>HYPERLINK("https://dvdaddin.dvdpm.net/en/commands/reference/btnGetLookup","Open the guide")</f>
        <v>Open the guide</v>
      </c>
    </row>
    <row r="131">
      <c r="A131" s="103">
        <v>127</v>
      </c>
      <c r="B131" s="102" t="inlineStr">
        <is>
          <t>DVD Addin</t>
        </is>
      </c>
      <c r="C131" s="102" t="inlineStr">
        <is>
          <t>Formula</t>
        </is>
      </c>
      <c r="D131" s="102" t="inlineStr">
        <is>
          <t>Dependents</t>
        </is>
      </c>
      <c r="E131" s="104" t="inlineStr">
        <is>
          <t>Dependents</t>
        </is>
      </c>
      <c r="F131" s="102" t="inlineStr">
        <is>
          <t>Select the cell to check — for example the machine-shift factor on the parameters sheet. The command always tracks the active cell, not the whole selection.</t>
        </is>
      </c>
      <c r="G131" s="104" t="str">
        <f>HYPERLINK("https://dvdaddin.dvdpm.net/en/commands/reference/btnShowDependents","Open the guide")</f>
        <v>Open the guide</v>
      </c>
    </row>
    <row r="132">
      <c r="A132" s="103">
        <v>128</v>
      </c>
      <c r="B132" s="102" t="inlineStr">
        <is>
          <t>DVD Addin</t>
        </is>
      </c>
      <c r="C132" s="102" t="inlineStr">
        <is>
          <t>Formula</t>
        </is>
      </c>
      <c r="D132" s="102" t="inlineStr">
        <is>
          <t>Autosum</t>
        </is>
      </c>
      <c r="E132" s="104" t="inlineStr">
        <is>
          <t>Autosum</t>
        </is>
      </c>
      <c r="F132" s="102" t="inlineStr">
        <is>
          <t>Prepare a table with a key column — here the section column is filled only on summary rows and left blank on detail rows — and the data column to sum , both with the same rows.</t>
        </is>
      </c>
      <c r="G132" s="104" t="str">
        <f>HYPERLINK("https://dvdaddin.dvdpm.net/en/commands/reference/btnAutosum","Open the guide")</f>
        <v>Open the guide</v>
      </c>
    </row>
    <row r="133">
      <c r="A133" s="103">
        <v>129</v>
      </c>
      <c r="B133" s="102" t="inlineStr">
        <is>
          <t>DVD Addin</t>
        </is>
      </c>
      <c r="C133" s="102" t="inlineStr">
        <is>
          <t>Formula</t>
        </is>
      </c>
      <c r="D133" s="102" t="inlineStr">
        <is>
          <t>Fill Results</t>
        </is>
      </c>
      <c r="E133" s="104" t="inlineStr">
        <is>
          <t>Fill Results</t>
        </is>
      </c>
      <c r="F133" s="102" t="inlineStr">
        <is>
          <t>Prepare a table with a description column (the calculation text) and a matching result column , row by row.</t>
        </is>
      </c>
      <c r="G133" s="104" t="str">
        <f>HYPERLINK("https://dvdaddin.dvdpm.net/en/commands/reference/btnFillInResults","Open the guide")</f>
        <v>Open the guide</v>
      </c>
    </row>
    <row r="134">
      <c r="A134" s="103">
        <v>130</v>
      </c>
      <c r="B134" s="102" t="inlineStr">
        <is>
          <t>DVD Addin</t>
        </is>
      </c>
      <c r="C134" s="102" t="inlineStr">
        <is>
          <t>Formula</t>
        </is>
      </c>
      <c r="D134" s="102" t="inlineStr">
        <is>
          <t>Direct Ref</t>
        </is>
      </c>
      <c r="E134" s="104" t="inlineStr">
        <is>
          <t>Direct Ref, DON GIA</t>
        </is>
      </c>
      <c r="F134" s="102" t="inlineStr">
        <is>
          <t>Prepare the source range : its first column is the item code (key), its last column receives the unit-rate formula. The target is the rates table on sheet DON GIA, with codes in column A and rates in column D.</t>
        </is>
      </c>
      <c r="G134" s="104" t="str">
        <f>HYPERLINK("https://dvdaddin.dvdpm.net/en/commands/reference/btnAssignDirectReference","Open the guide")</f>
        <v>Open the guide</v>
      </c>
    </row>
    <row r="135">
      <c r="A135" s="103">
        <v>131</v>
      </c>
      <c r="B135" s="102" t="inlineStr">
        <is>
          <t>DVD Addin</t>
        </is>
      </c>
      <c r="C135" s="102" t="inlineStr">
        <is>
          <t>Formula</t>
        </is>
      </c>
      <c r="D135" s="102" t="inlineStr">
        <is>
          <t>Rounding Func</t>
        </is>
      </c>
      <c r="E135" s="104" t="inlineStr">
        <is>
          <t>Rounding Func</t>
        </is>
      </c>
      <c r="F135" s="102" t="inlineStr">
        <is>
          <t>Select the cells whose formulas you want to round — here a quantity column that shows too many decimals.</t>
        </is>
      </c>
      <c r="G135" s="104" t="str">
        <f>HYPERLINK("https://dvdaddin.dvdpm.net/en/commands/reference/btnRoundingFunctions","Open the guide")</f>
        <v>Open the guide</v>
      </c>
    </row>
    <row r="136">
      <c r="A136" s="103">
        <v>132</v>
      </c>
      <c r="B136" s="102" t="inlineStr">
        <is>
          <t>DVD Addin</t>
        </is>
      </c>
      <c r="C136" s="102" t="inlineStr">
        <is>
          <t>Formula</t>
        </is>
      </c>
      <c r="D136" s="102" t="inlineStr">
        <is>
          <t>Lock Ref</t>
        </is>
      </c>
      <c r="E136" s="104" t="inlineStr">
        <is>
          <t>Lock Ref, BANGTHEP</t>
        </is>
      </c>
      <c r="F136" s="102" t="inlineStr">
        <is>
          <t>Select the formula cells whose reference style you want to change — for example the rebar weight column before copying the whole block to a summary sheet without the references shifting. The formulas currently use relative references .</t>
        </is>
      </c>
      <c r="G136" s="104" t="str">
        <f>HYPERLINK("https://dvdaddin.dvdpm.net/en/commands/reference/btnLockCellReferences","Open the guide")</f>
        <v>Open the guide</v>
      </c>
    </row>
    <row r="137">
      <c r="A137" s="103">
        <v>133</v>
      </c>
      <c r="B137" s="102" t="inlineStr">
        <is>
          <t>DVD Addin</t>
        </is>
      </c>
      <c r="C137" s="102" t="inlineStr">
        <is>
          <t>Formula</t>
        </is>
      </c>
      <c r="D137" s="102" t="inlineStr">
        <is>
          <t>Error Check</t>
        </is>
      </c>
      <c r="E137" s="104" t="inlineStr">
        <is>
          <t>Error Check</t>
        </is>
      </c>
      <c r="F137" s="102" t="inlineStr">
        <is>
          <t>Select the formula cells that show Excel's green warning triangles — for example an amount column whose section subtotal rows use a different formula from the rows around them, so Excel flags an “inconsistent formula”.</t>
        </is>
      </c>
      <c r="G137" s="104" t="str">
        <f>HYPERLINK("https://dvdaddin.dvdpm.net/en/commands/reference/btnFormulaErrorChecking","Open the guide")</f>
        <v>Open the guide</v>
      </c>
    </row>
    <row r="138">
      <c r="A138" s="103">
        <v>134</v>
      </c>
      <c r="B138" s="102" t="inlineStr">
        <is>
          <t>DVD Addin</t>
        </is>
      </c>
      <c r="C138" s="102" t="inlineStr">
        <is>
          <t>Graphics</t>
        </is>
      </c>
      <c r="D138" s="102" t="inlineStr">
        <is>
          <t>Color Shapes</t>
        </is>
      </c>
      <c r="E138" s="104" t="inlineStr">
        <is>
          <t>Color Shapes</t>
        </is>
      </c>
      <c r="F138" s="102" t="inlineStr">
        <is>
          <t>On the sheet whose plan is drawn with named shapes (O_A1, O_A2…), build a mapping table: first column = shape name, second column = colour code (Excel RGB number or #RRGGBB) — here the code is computed by a formula from the status column .</t>
        </is>
      </c>
      <c r="G138" s="104" t="str">
        <f>HYPERLINK("https://dvdaddin.dvdpm.net/en/commands/reference/btnColorShapes","Open the guide")</f>
        <v>Open the guide</v>
      </c>
    </row>
    <row r="139">
      <c r="A139" s="103">
        <v>135</v>
      </c>
      <c r="B139" s="102" t="inlineStr">
        <is>
          <t>DVD Addin</t>
        </is>
      </c>
      <c r="C139" s="102" t="inlineStr">
        <is>
          <t>Graphics</t>
        </is>
      </c>
      <c r="D139" s="102" t="inlineStr">
        <is>
          <t>Color Rects</t>
        </is>
      </c>
      <c r="E139" s="104" t="inlineStr">
        <is>
          <t>Color Rects</t>
        </is>
      </c>
      <c r="F139" s="102" t="inlineStr">
        <is>
          <t>Prepare a range whose values are numeric RGB colour codes — here a zone × week grid where a formula turns the status into a colour code (grey = not yet, yellow = pour week, green = poured) .</t>
        </is>
      </c>
      <c r="G139" s="104" t="str">
        <f>HYPERLINK("https://dvdaddin.dvdpm.net/en/commands/reference/btnColorRectangles","Open the guide")</f>
        <v>Open the guide</v>
      </c>
    </row>
    <row r="140">
      <c r="A140" s="103">
        <v>136</v>
      </c>
      <c r="B140" s="102" t="inlineStr">
        <is>
          <t>DVD Addin</t>
        </is>
      </c>
      <c r="C140" s="102" t="inlineStr">
        <is>
          <t>Graphics</t>
        </is>
      </c>
      <c r="D140" s="102" t="inlineStr">
        <is>
          <t>List Shapes</t>
        </is>
      </c>
      <c r="E140" s="104" t="inlineStr">
        <is>
          <t>List Shapes</t>
        </is>
      </c>
      <c r="F140" s="102" t="inlineStr">
        <is>
          <t>Open the sheet that holds the shapes (here: the level 3 plan with a title box and a group of 6 slab bays) and select an empty starting cell — the list runs down from this cell.</t>
        </is>
      </c>
      <c r="G140" s="104" t="str">
        <f>HYPERLINK("https://dvdaddin.dvdpm.net/en/commands/reference/btnListShapes","Open the guide")</f>
        <v>Open the guide</v>
      </c>
    </row>
    <row r="141">
      <c r="A141" s="103">
        <v>137</v>
      </c>
      <c r="B141" s="102" t="inlineStr">
        <is>
          <t>DVD Addin</t>
        </is>
      </c>
      <c r="C141" s="102" t="inlineStr">
        <is>
          <t>Graphics</t>
        </is>
      </c>
      <c r="D141" s="102" t="inlineStr">
        <is>
          <t>Rename Shapes</t>
        </is>
      </c>
      <c r="E141" s="104" t="inlineStr">
        <is>
          <t>Rename Shapes</t>
        </is>
      </c>
      <c r="F141" s="102" t="inlineStr">
        <is>
          <t>On the sheet that holds the shapes, build a two-column table: left = old name, right = new name . Get the old names quickly with List Shapes.</t>
        </is>
      </c>
      <c r="G141" s="104" t="str">
        <f>HYPERLINK("https://dvdaddin.dvdpm.net/en/commands/reference/btnRenameShapes","Open the guide")</f>
        <v>Open the guide</v>
      </c>
    </row>
    <row r="142">
      <c r="A142" s="103">
        <v>138</v>
      </c>
      <c r="B142" s="102" t="inlineStr">
        <is>
          <t>DVD Addin</t>
        </is>
      </c>
      <c r="C142" s="102" t="inlineStr">
        <is>
          <t>Graphics</t>
        </is>
      </c>
      <c r="D142" s="102" t="inlineStr">
        <is>
          <t>Number Shapes</t>
        </is>
      </c>
      <c r="E142" s="105" t="inlineStr">
        <is>
          <t>— (no sample data needed)</t>
        </is>
      </c>
      <c r="F142" s="102" t="inlineStr">
        <is>
          <t/>
        </is>
      </c>
      <c r="G142" s="104" t="str">
        <f>HYPERLINK("https://dvdaddin.dvdpm.net/en/commands/reference/btnNumberShapes","Open the guide")</f>
        <v>Open the guide</v>
      </c>
    </row>
    <row r="143">
      <c r="A143" s="103">
        <v>139</v>
      </c>
      <c r="B143" s="102" t="inlineStr">
        <is>
          <t>DVD Addin</t>
        </is>
      </c>
      <c r="C143" s="102" t="inlineStr">
        <is>
          <t>Graphics</t>
        </is>
      </c>
      <c r="D143" s="102" t="inlineStr">
        <is>
          <t>Get Position</t>
        </is>
      </c>
      <c r="E143" s="104" t="inlineStr">
        <is>
          <t>Get Position</t>
        </is>
      </c>
      <c r="F143" s="102" t="inlineStr">
        <is>
          <t>Type or paste the names of the shapes into a column, then select the cells holding those names .</t>
        </is>
      </c>
      <c r="G143" s="104" t="str">
        <f>HYPERLINK("https://dvdaddin.dvdpm.net/en/commands/reference/btnShapePositions","Open the guide")</f>
        <v>Open the guide</v>
      </c>
    </row>
    <row r="144">
      <c r="A144" s="103">
        <v>140</v>
      </c>
      <c r="B144" s="102" t="inlineStr">
        <is>
          <t>DVD Addin</t>
        </is>
      </c>
      <c r="C144" s="102" t="inlineStr">
        <is>
          <t>Graphics</t>
        </is>
      </c>
      <c r="D144" s="102" t="inlineStr">
        <is>
          <t>Linked Labels</t>
        </is>
      </c>
      <c r="E144" s="104" t="inlineStr">
        <is>
          <t>Linked Labels</t>
        </is>
      </c>
      <c r="F144" s="102" t="inlineStr">
        <is>
          <t>The footings on the drawing are shapes named 1, 2, 3… (quickly set with Number Shapes). Next to it is the tracking table: select a range whose first column = shape names and last column = the cells to place (here the pour date) — columns in between are ignored .</t>
        </is>
      </c>
      <c r="G144" s="104" t="str">
        <f>HYPERLINK("https://dvdaddin.dvdpm.net/en/commands/reference/btnLinkedLabels","Open the guide")</f>
        <v>Open the guide</v>
      </c>
    </row>
    <row r="145">
      <c r="A145" s="103">
        <v>141</v>
      </c>
      <c r="B145" s="102" t="inlineStr">
        <is>
          <t>DVD Addin</t>
        </is>
      </c>
      <c r="C145" s="102" t="inlineStr">
        <is>
          <t>Graphics</t>
        </is>
      </c>
      <c r="D145" s="102" t="inlineStr">
        <is>
          <t>Make Labels Static</t>
        </is>
      </c>
      <c r="E145" s="105" t="inlineStr">
        <is>
          <t>— (no sample data needed)</t>
        </is>
      </c>
      <c r="F145" s="102" t="inlineStr">
        <is>
          <t/>
        </is>
      </c>
      <c r="G145" s="104" t="str">
        <f>HYPERLINK("https://dvdaddin.dvdpm.net/en/commands/reference/btnStaticLabels","Open the guide")</f>
        <v>Open the guide</v>
      </c>
    </row>
    <row r="146">
      <c r="A146" s="103">
        <v>142</v>
      </c>
      <c r="B146" s="102" t="inlineStr">
        <is>
          <t>DVD Addin</t>
        </is>
      </c>
      <c r="C146" s="102" t="inlineStr">
        <is>
          <t>Graphics</t>
        </is>
      </c>
      <c r="D146" s="102" t="inlineStr">
        <is>
          <t>Footing shapes from DWG</t>
        </is>
      </c>
      <c r="E146" s="105" t="inlineStr">
        <is>
          <t>— (no sample data needed)</t>
        </is>
      </c>
      <c r="F146" s="102" t="inlineStr">
        <is>
          <t/>
        </is>
      </c>
      <c r="G146" s="104" t="str">
        <f>HYPERLINK("https://dvdaddin.dvdpm.net/en/commands/reference/btnFootingsFromDwg","Open the guide")</f>
        <v>Open the guide</v>
      </c>
    </row>
    <row r="147">
      <c r="A147" s="103">
        <v>143</v>
      </c>
      <c r="B147" s="102" t="inlineStr">
        <is>
          <t>DVD Addin</t>
        </is>
      </c>
      <c r="C147" s="102" t="inlineStr">
        <is>
          <t>Graphics</t>
        </is>
      </c>
      <c r="D147" s="102" t="inlineStr">
        <is>
          <t>Pile shapes from DWG</t>
        </is>
      </c>
      <c r="E147" s="105" t="inlineStr">
        <is>
          <t>— (no sample data needed)</t>
        </is>
      </c>
      <c r="F147" s="102" t="inlineStr">
        <is>
          <t/>
        </is>
      </c>
      <c r="G147" s="104" t="str">
        <f>HYPERLINK("https://dvdaddin.dvdpm.net/en/commands/reference/btnPilesFromDwg","Open the guide")</f>
        <v>Open the guide</v>
      </c>
    </row>
    <row r="148">
      <c r="A148" s="103">
        <v>144</v>
      </c>
      <c r="B148" s="102" t="inlineStr">
        <is>
          <t>DVD Addin</t>
        </is>
      </c>
      <c r="C148" s="102" t="inlineStr">
        <is>
          <t>Graphics</t>
        </is>
      </c>
      <c r="D148" s="102" t="inlineStr">
        <is>
          <t>Column/wall shapes from DWG</t>
        </is>
      </c>
      <c r="E148" s="105" t="inlineStr">
        <is>
          <t>— (no sample data needed)</t>
        </is>
      </c>
      <c r="F148" s="102" t="inlineStr">
        <is>
          <t/>
        </is>
      </c>
      <c r="G148" s="104" t="str">
        <f>HYPERLINK("https://dvdaddin.dvdpm.net/en/commands/reference/btnColumnsWallsFromDwg","Open the guide")</f>
        <v>Open the guide</v>
      </c>
    </row>
    <row r="149">
      <c r="A149" s="103">
        <v>145</v>
      </c>
      <c r="B149" s="102" t="inlineStr">
        <is>
          <t>DVD Addin</t>
        </is>
      </c>
      <c r="C149" s="102" t="inlineStr">
        <is>
          <t>Graphics</t>
        </is>
      </c>
      <c r="D149" s="102" t="inlineStr">
        <is>
          <t>Plan progress</t>
        </is>
      </c>
      <c r="E149" s="104" t="inlineStr">
        <is>
          <t>Plan progress</t>
        </is>
      </c>
      <c r="F149" s="102" t="inlineStr">
        <is>
          <t>The add-in creates the sheet TĐ Pile plan right after the plan: a No. | Shape name | Status | Date | Note table with names in natural order. Pick each row's status from the drop-down and fill in dates if needed. The legend on the right : each colour is the fill of the Colour cell (change it with Home ▸ Fill); Count and Share are computed automatically.</t>
        </is>
      </c>
      <c r="G149" s="104" t="str">
        <f>HYPERLINK("https://dvdaddin.dvdpm.net/en/commands/reference/btnPlanProgress","Open the guide")</f>
        <v>Open the guide</v>
      </c>
    </row>
    <row r="150">
      <c r="A150" s="103">
        <v>146</v>
      </c>
      <c r="B150" s="102" t="inlineStr">
        <is>
          <t>DVD Addin</t>
        </is>
      </c>
      <c r="C150" s="102" t="inlineStr">
        <is>
          <t>Graphics</t>
        </is>
      </c>
      <c r="D150" s="102" t="inlineStr">
        <is>
          <t>Get Color Code</t>
        </is>
      </c>
      <c r="E150" s="104" t="inlineStr">
        <is>
          <t>Get Color Code</t>
        </is>
      </c>
      <c r="F150" s="102" t="inlineStr">
        <is>
          <t>The command writes the colour code over the selected cells themselves, so first copy the coloured cells to a spare column — for example copy the Standard colour column to column D .</t>
        </is>
      </c>
      <c r="G150" s="104" t="str">
        <f>HYPERLINK("https://dvdaddin.dvdpm.net/en/commands/reference/btnGetCellColorCode","Open the guide")</f>
        <v>Open the guide</v>
      </c>
    </row>
    <row r="151">
      <c r="A151" s="103">
        <v>147</v>
      </c>
      <c r="B151" s="102" t="inlineStr">
        <is>
          <t>DVD Addin</t>
        </is>
      </c>
      <c r="C151" s="102" t="inlineStr">
        <is>
          <t>Graphics</t>
        </is>
      </c>
      <c r="D151" s="102" t="inlineStr">
        <is>
          <t>Auto Click</t>
        </is>
      </c>
      <c r="E151" s="104" t="inlineStr">
        <is>
          <t>Auto Click</t>
        </is>
      </c>
      <c r="F151" s="102" t="inlineStr">
        <is>
          <t>Each click becomes a row on the separate AutoClick sheet (created if missing). Edit X / Y or Wait (ms) — the delay before that row's click — directly to fine-tune .</t>
        </is>
      </c>
      <c r="G151" s="104" t="str">
        <f>HYPERLINK("https://dvdaddin.dvdpm.net/en/commands/reference/btnAutoClick","Open the guide")</f>
        <v>Open the guide</v>
      </c>
    </row>
    <row r="152">
      <c r="A152" s="103">
        <v>148</v>
      </c>
      <c r="B152" s="102" t="inlineStr">
        <is>
          <t>DVD Addin</t>
        </is>
      </c>
      <c r="C152" s="102" t="inlineStr">
        <is>
          <t>Graphics</t>
        </is>
      </c>
      <c r="D152" s="102" t="inlineStr">
        <is>
          <t>Pictures</t>
        </is>
      </c>
      <c r="E152" s="104" t="inlineStr">
        <is>
          <t>Pictures</t>
        </is>
      </c>
      <c r="F152" s="102" t="inlineStr">
        <is>
          <t>The Select target range box appears: drag over the picture cells C4:C15 — each merged area counts as one slot — and click OK. In the next box, Enter padding between image and cell border, keep 2 (points) and click OK.</t>
        </is>
      </c>
      <c r="G152" s="104" t="str">
        <f>HYPERLINK("https://dvdaddin.dvdpm.net/en/commands/reference/btnInsertPictures","Open the guide")</f>
        <v>Open the guide</v>
      </c>
    </row>
    <row r="153">
      <c r="A153" s="103">
        <v>149</v>
      </c>
      <c r="B153" s="102" t="inlineStr">
        <is>
          <t>DVD Addin</t>
        </is>
      </c>
      <c r="C153" s="102" t="inlineStr">
        <is>
          <t>Graphics</t>
        </is>
      </c>
      <c r="D153" s="102" t="inlineStr">
        <is>
          <t>Insert by Name</t>
        </is>
      </c>
      <c r="E153" s="104" t="inlineStr">
        <is>
          <t>Insert by Name</t>
        </is>
      </c>
      <c r="F153" s="102" t="inlineStr">
        <is>
          <t>In Cells with image basenames, drag over the code column B4:B7 and click OK. In Cells to insert images into, drag over C4:C7 — or just the first cell C4, the command then moves down one merged area at a time — and click OK. In Spacing 2-5, keep 2 and click OK.</t>
        </is>
      </c>
      <c r="G153" s="104" t="str">
        <f>HYPERLINK("https://dvdaddin.dvdpm.net/en/commands/reference/btnInsertPictureByName","Open the guide")</f>
        <v>Open the guide</v>
      </c>
    </row>
    <row r="154">
      <c r="A154" s="103">
        <v>150</v>
      </c>
      <c r="B154" s="102" t="inlineStr">
        <is>
          <t>DVD Addin</t>
        </is>
      </c>
      <c r="C154" s="102" t="inlineStr">
        <is>
          <t>Graphics</t>
        </is>
      </c>
      <c r="D154" s="102" t="inlineStr">
        <is>
          <t>Pic Comment</t>
        </is>
      </c>
      <c r="E154" s="104" t="inlineStr">
        <is>
          <t>Pic Comment</t>
        </is>
      </c>
      <c r="F154" s="102" t="inlineStr">
        <is>
          <t>Click the cell that should carry the picture, for example the remark cell F4 of slab bay A-B . The command uses only the active cell, even if a whole range is selected.</t>
        </is>
      </c>
      <c r="G154" s="104" t="str">
        <f>HYPERLINK("https://dvdaddin.dvdpm.net/en/commands/reference/btnPictureComment","Open the guide")</f>
        <v>Open the guide</v>
      </c>
    </row>
    <row r="155">
      <c r="A155" s="103">
        <v>151</v>
      </c>
      <c r="B155" s="102" t="inlineStr">
        <is>
          <t>DVD Addin</t>
        </is>
      </c>
      <c r="C155" s="102" t="inlineStr">
        <is>
          <t>Graphics</t>
        </is>
      </c>
      <c r="D155" s="102" t="inlineStr">
        <is>
          <t>Comment by Name</t>
        </is>
      </c>
      <c r="E155" s="104" t="inlineStr">
        <is>
          <t>Comment by Name</t>
        </is>
      </c>
      <c r="F155" s="102" t="inlineStr">
        <is>
          <t>Select the cells that hold the picture names — for example the inspection-record numbers A4:A8 . Each value is the picture's file name, usually without extension (NT-501).</t>
        </is>
      </c>
      <c r="G155" s="104" t="str">
        <f>HYPERLINK("https://dvdaddin.dvdpm.net/en/commands/reference/btnPictureCommentByName","Open the guide")</f>
        <v>Open the guide</v>
      </c>
    </row>
    <row r="156">
      <c r="A156" s="103">
        <v>152</v>
      </c>
      <c r="B156" s="102" t="inlineStr">
        <is>
          <t>DVD Addin</t>
        </is>
      </c>
      <c r="C156" s="102" t="inlineStr">
        <is>
          <t>Graphics</t>
        </is>
      </c>
      <c r="D156" s="102" t="inlineStr">
        <is>
          <t>Move/Resize</t>
        </is>
      </c>
      <c r="E156" s="104" t="inlineStr">
        <is>
          <t>Move-Resize</t>
        </is>
      </c>
      <c r="F156" s="102" t="inlineStr">
        <is>
          <t>Click the misplaced picture — here the photo of footing M3 has drifted out of C8:C11 and covers column D. You must select the picture/shape object, not a cell.</t>
        </is>
      </c>
      <c r="G156" s="104" t="str">
        <f>HYPERLINK("https://dvdaddin.dvdpm.net/en/commands/reference/btnMoveResizePic","Open the guide")</f>
        <v>Open the guide</v>
      </c>
    </row>
    <row r="157">
      <c r="A157" s="103">
        <v>153</v>
      </c>
      <c r="B157" s="102" t="inlineStr">
        <is>
          <t>DVD Addin</t>
        </is>
      </c>
      <c r="C157" s="102" t="inlineStr">
        <is>
          <t>Graphics</t>
        </is>
      </c>
      <c r="D157" s="102" t="inlineStr">
        <is>
          <t>Capture and Annotate</t>
        </is>
      </c>
      <c r="E157" s="104" t="inlineStr">
        <is>
          <t>Capture and Annotate</t>
        </is>
      </c>
      <c r="F157" s="102" t="inlineStr">
        <is>
          <t>Click the cell that will receive the picture, for example B9 of the meeting minutes — the Insert into Excel button places the picture at the active cell.</t>
        </is>
      </c>
      <c r="G157" s="104" t="str">
        <f>HYPERLINK("https://dvdaddin.dvdpm.net/en/commands/reference/btnScreenAnnotate","Open the guide")</f>
        <v>Open the guide</v>
      </c>
    </row>
    <row r="158">
      <c r="A158" s="103">
        <v>154</v>
      </c>
      <c r="B158" s="102" t="inlineStr">
        <is>
          <t>DVD Addin</t>
        </is>
      </c>
      <c r="C158" s="102" t="inlineStr">
        <is>
          <t>Graphics</t>
        </is>
      </c>
      <c r="D158" s="102" t="inlineStr">
        <is>
          <t>Revision Cloud</t>
        </is>
      </c>
      <c r="E158" s="105" t="inlineStr">
        <is>
          <t>— (no sample data needed)</t>
        </is>
      </c>
      <c r="F158" s="102" t="inlineStr">
        <is>
          <t/>
        </is>
      </c>
      <c r="G158" s="104" t="str">
        <f>HYPERLINK("https://dvdaddin.dvdpm.net/en/commands/reference/btnCloudRect","Open the guide")</f>
        <v>Open the guide</v>
      </c>
    </row>
    <row r="159">
      <c r="A159" s="103">
        <v>155</v>
      </c>
      <c r="B159" s="102" t="inlineStr">
        <is>
          <t>DVD Addin</t>
        </is>
      </c>
      <c r="C159" s="102" t="inlineStr">
        <is>
          <t>Graphics</t>
        </is>
      </c>
      <c r="D159" s="102" t="inlineStr">
        <is>
          <t>Polygon Cloud</t>
        </is>
      </c>
      <c r="E159" s="104" t="inlineStr">
        <is>
          <t>Polygon Cloud</t>
        </is>
      </c>
      <c r="F159" s="102" t="inlineStr">
        <is>
          <t>Click the six corners along the L-shaped strengthening zone in turn → — the scallops follow the cursor from the third point. Hold Shift to keep the current edge at 0°/45°/90°; Backspace removes a wrong last point, Esc discards the whole shape.</t>
        </is>
      </c>
      <c r="G159" s="104" t="str">
        <f>HYPERLINK("https://dvdaddin.dvdpm.net/en/commands/reference/btnCloudPoly","Open the guide")</f>
        <v>Open the guide</v>
      </c>
    </row>
    <row r="160">
      <c r="A160" s="103">
        <v>156</v>
      </c>
      <c r="B160" s="102" t="inlineStr">
        <is>
          <t>DVD Addin</t>
        </is>
      </c>
      <c r="C160" s="102" t="inlineStr">
        <is>
          <t>Graphics</t>
        </is>
      </c>
      <c r="D160" s="102" t="inlineStr">
        <is>
          <t>Cloud Around Selection</t>
        </is>
      </c>
      <c r="E160" s="104" t="inlineStr">
        <is>
          <t>Cloud Around Selection</t>
        </is>
      </c>
      <c r="F160" s="102" t="inlineStr">
        <is>
          <t>Select row 5, then hold Ctrl and add rows 8 and 11 — the three blocks are the quantity lines that changed since the last payment. (With shapes or pictures selected, each one gets a cloud around its visible frame and stays unchanged.)</t>
        </is>
      </c>
      <c r="G160" s="104" t="str">
        <f>HYPERLINK("https://dvdaddin.dvdpm.net/en/commands/reference/btnCloudSelection","Open the guide")</f>
        <v>Open the guide</v>
      </c>
    </row>
    <row r="161">
      <c r="A161" s="103">
        <v>157</v>
      </c>
      <c r="B161" s="102" t="inlineStr">
        <is>
          <t>DVD Addin</t>
        </is>
      </c>
      <c r="C161" s="102" t="inlineStr">
        <is>
          <t>Graphics</t>
        </is>
      </c>
      <c r="D161" s="102" t="inlineStr">
        <is>
          <t>Convert to Cloud</t>
        </is>
      </c>
      <c r="E161" s="105" t="inlineStr">
        <is>
          <t>— (no sample data needed)</t>
        </is>
      </c>
      <c r="F161" s="102" t="inlineStr">
        <is>
          <t/>
        </is>
      </c>
      <c r="G161" s="104" t="str">
        <f>HYPERLINK("https://dvdaddin.dvdpm.net/en/commands/reference/btnCloudConvert","Open the guide")</f>
        <v>Open the guide</v>
      </c>
    </row>
    <row r="162">
      <c r="A162" s="103">
        <v>158</v>
      </c>
      <c r="B162" s="102" t="inlineStr">
        <is>
          <t>DVD Addin</t>
        </is>
      </c>
      <c r="C162" s="102" t="inlineStr">
        <is>
          <t>Graphics</t>
        </is>
      </c>
      <c r="D162" s="102" t="inlineStr">
        <is>
          <t>Arrow</t>
        </is>
      </c>
      <c r="E162" s="105" t="inlineStr">
        <is>
          <t>— (no sample data needed)</t>
        </is>
      </c>
      <c r="F162" s="102" t="inlineStr">
        <is>
          <t/>
        </is>
      </c>
      <c r="G162" s="104" t="str">
        <f>HYPERLINK("https://dvdaddin.dvdpm.net/en/commands/reference/btnNoteArrow","Open the guide")</f>
        <v>Open the guide</v>
      </c>
    </row>
    <row r="163">
      <c r="A163" s="103">
        <v>159</v>
      </c>
      <c r="B163" s="102" t="inlineStr">
        <is>
          <t>DVD Addin</t>
        </is>
      </c>
      <c r="C163" s="102" t="inlineStr">
        <is>
          <t>Graphics</t>
        </is>
      </c>
      <c r="D163" s="102" t="inlineStr">
        <is>
          <t>Text Note</t>
        </is>
      </c>
      <c r="E163" s="105" t="inlineStr">
        <is>
          <t>— (no sample data needed)</t>
        </is>
      </c>
      <c r="F163" s="102" t="inlineStr">
        <is>
          <t/>
        </is>
      </c>
      <c r="G163" s="104" t="str">
        <f>HYPERLINK("https://dvdaddin.dvdpm.net/en/commands/reference/btnNoteText","Open the guide")</f>
        <v>Open the guide</v>
      </c>
    </row>
    <row r="164">
      <c r="A164" s="103">
        <v>160</v>
      </c>
      <c r="B164" s="102" t="inlineStr">
        <is>
          <t>DVD Addin</t>
        </is>
      </c>
      <c r="C164" s="102" t="inlineStr">
        <is>
          <t>Graphics</t>
        </is>
      </c>
      <c r="D164" s="102" t="inlineStr">
        <is>
          <t>Sticky Note</t>
        </is>
      </c>
      <c r="E164" s="105" t="inlineStr">
        <is>
          <t>— (no sample data needed)</t>
        </is>
      </c>
      <c r="F164" s="102" t="inlineStr">
        <is>
          <t/>
        </is>
      </c>
      <c r="G164" s="104" t="str">
        <f>HYPERLINK("https://dvdaddin.dvdpm.net/en/commands/reference/btnNoteSticky","Open the guide")</f>
        <v>Open the guide</v>
      </c>
    </row>
    <row r="165">
      <c r="A165" s="103">
        <v>161</v>
      </c>
      <c r="B165" s="102" t="inlineStr">
        <is>
          <t>DVD Addin</t>
        </is>
      </c>
      <c r="C165" s="102" t="inlineStr">
        <is>
          <t>Graphics</t>
        </is>
      </c>
      <c r="D165" s="102" t="inlineStr">
        <is>
          <t>Callout</t>
        </is>
      </c>
      <c r="E165" s="105" t="inlineStr">
        <is>
          <t>— (no sample data needed)</t>
        </is>
      </c>
      <c r="F165" s="102" t="inlineStr">
        <is>
          <t/>
        </is>
      </c>
      <c r="G165" s="104" t="str">
        <f>HYPERLINK("https://dvdaddin.dvdpm.net/en/commands/reference/btnNoteCallout","Open the guide")</f>
        <v>Open the guide</v>
      </c>
    </row>
    <row r="166">
      <c r="A166" s="103">
        <v>162</v>
      </c>
      <c r="B166" s="102" t="inlineStr">
        <is>
          <t>DVD Addin</t>
        </is>
      </c>
      <c r="C166" s="102" t="inlineStr">
        <is>
          <t>Graphics</t>
        </is>
      </c>
      <c r="D166" s="102" t="inlineStr">
        <is>
          <t>Cloud Options…</t>
        </is>
      </c>
      <c r="E166" s="105" t="inlineStr">
        <is>
          <t>— (no sample data needed)</t>
        </is>
      </c>
      <c r="F166" s="102" t="inlineStr">
        <is>
          <t/>
        </is>
      </c>
      <c r="G166" s="104" t="str">
        <f>HYPERLINK("https://dvdaddin.dvdpm.net/en/commands/reference/btnCloudOptions","Open the guide")</f>
        <v>Open the guide</v>
      </c>
    </row>
    <row r="167">
      <c r="A167" s="103">
        <v>163</v>
      </c>
      <c r="B167" s="102" t="inlineStr">
        <is>
          <t>DVD Addin</t>
        </is>
      </c>
      <c r="C167" s="102" t="inlineStr">
        <is>
          <t>File and Print</t>
        </is>
      </c>
      <c r="D167" s="102" t="inlineStr">
        <is>
          <t>File List</t>
        </is>
      </c>
      <c r="E167" s="104" t="inlineStr">
        <is>
          <t>File List</t>
        </is>
      </c>
      <c r="F167" s="102" t="inlineStr">
        <is>
          <t>Click the cell where the list should start, for example A5 on the register sheet .</t>
        </is>
      </c>
      <c r="G167" s="104" t="str">
        <f>HYPERLINK("https://dvdaddin.dvdpm.net/en/commands/reference/btnFileList","Open the guide")</f>
        <v>Open the guide</v>
      </c>
    </row>
    <row r="168">
      <c r="A168" s="103">
        <v>164</v>
      </c>
      <c r="B168" s="102" t="inlineStr">
        <is>
          <t>DVD Addin</t>
        </is>
      </c>
      <c r="C168" s="102" t="inlineStr">
        <is>
          <t>File and Print</t>
        </is>
      </c>
      <c r="D168" s="102" t="inlineStr">
        <is>
          <t>Combine files</t>
        </is>
      </c>
      <c r="E168" s="105" t="inlineStr">
        <is>
          <t>— (no sample data needed)</t>
        </is>
      </c>
      <c r="F168" s="102" t="inlineStr">
        <is>
          <t/>
        </is>
      </c>
      <c r="G168" s="104" t="str">
        <f>HYPERLINK("https://dvdaddin.dvdpm.net/en/commands/reference/btnCombineFiles","Open the guide")</f>
        <v>Open the guide</v>
      </c>
    </row>
    <row r="169">
      <c r="A169" s="103">
        <v>165</v>
      </c>
      <c r="B169" s="102" t="inlineStr">
        <is>
          <t>DVD Addin</t>
        </is>
      </c>
      <c r="C169" s="102" t="inlineStr">
        <is>
          <t>File and Print</t>
        </is>
      </c>
      <c r="D169" s="102" t="inlineStr">
        <is>
          <t>Split table</t>
        </is>
      </c>
      <c r="E169" s="104" t="inlineStr">
        <is>
          <t>Split table</t>
        </is>
      </c>
      <c r="F169" s="102" t="inlineStr">
        <is>
          <t>Select the table to split, including its header row . The Package column will be the key column.</t>
        </is>
      </c>
      <c r="G169" s="104" t="str">
        <f>HYPERLINK("https://dvdaddin.dvdpm.net/en/commands/reference/btnSplitTable","Open the guide")</f>
        <v>Open the guide</v>
      </c>
    </row>
    <row r="170">
      <c r="A170" s="103">
        <v>166</v>
      </c>
      <c r="B170" s="102" t="inlineStr">
        <is>
          <t>DVD Addin</t>
        </is>
      </c>
      <c r="C170" s="102" t="inlineStr">
        <is>
          <t>File and Print</t>
        </is>
      </c>
      <c r="D170" s="102" t="inlineStr">
        <is>
          <t>Compare sheets</t>
        </is>
      </c>
      <c r="E170" s="104" t="inlineStr">
        <is>
          <t>Compare sheets</t>
        </is>
      </c>
      <c r="F170" s="102" t="inlineStr">
        <is>
          <t>The bottom of the window reports Found 8 differences: 3 changed, 0 only in A, 5 only in B. The details are on the new Compare sheet in file B: a summary of both sheets and the number of cells compared , then one row per difference — cell address, value in A, value in B and kind .</t>
        </is>
      </c>
      <c r="G170" s="104" t="str">
        <f>HYPERLINK("https://dvdaddin.dvdpm.net/en/commands/reference/btnCompareSheets","Open the guide")</f>
        <v>Open the guide</v>
      </c>
    </row>
    <row r="171">
      <c r="A171" s="103">
        <v>167</v>
      </c>
      <c r="B171" s="102" t="inlineStr">
        <is>
          <t>DVD Addin</t>
        </is>
      </c>
      <c r="C171" s="102" t="inlineStr">
        <is>
          <t>File and Print</t>
        </is>
      </c>
      <c r="D171" s="102" t="inlineStr">
        <is>
          <t>Merge tables</t>
        </is>
      </c>
      <c r="E171" s="104" t="inlineStr">
        <is>
          <t>Merge tables, Rates (2)</t>
        </is>
      </c>
      <c r="F171" s="102" t="inlineStr">
        <is>
          <t>The main table has a Code column, but Unit is still empty and there is no Unit rate. The company price list (also keyed by code) is on the Rates sheet — it may also be in another open workbook.</t>
        </is>
      </c>
      <c r="G171" s="104" t="str">
        <f>HYPERLINK("https://dvdaddin.dvdpm.net/en/commands/reference/btnMergeTables","Open the guide")</f>
        <v>Open the guide</v>
      </c>
    </row>
    <row r="172">
      <c r="A172" s="103">
        <v>168</v>
      </c>
      <c r="B172" s="102" t="inlineStr">
        <is>
          <t>DVD Addin</t>
        </is>
      </c>
      <c r="C172" s="102" t="inlineStr">
        <is>
          <t>File and Print</t>
        </is>
      </c>
      <c r="D172" s="102" t="inlineStr">
        <is>
          <t>Rename Files</t>
        </is>
      </c>
      <c r="E172" s="104" t="inlineStr">
        <is>
          <t>Rename Files</t>
        </is>
      </c>
      <c r="F172" s="102" t="inlineStr">
        <is>
          <t>Build a two-column table: the left column holds the old file name, the right column the new file name (preferably with the extension). Leave the column right of the table empty — the command writes each row's status there. The range to pick is the data only, without the header row .</t>
        </is>
      </c>
      <c r="G172" s="104" t="str">
        <f>HYPERLINK("https://dvdaddin.dvdpm.net/en/commands/reference/btnRenameFiles","Open the guide")</f>
        <v>Open the guide</v>
      </c>
    </row>
    <row r="173">
      <c r="A173" s="103">
        <v>169</v>
      </c>
      <c r="B173" s="102" t="inlineStr">
        <is>
          <t>DVD Addin</t>
        </is>
      </c>
      <c r="C173" s="102" t="inlineStr">
        <is>
          <t>File and Print</t>
        </is>
      </c>
      <c r="D173" s="102" t="inlineStr">
        <is>
          <t>File Tree</t>
        </is>
      </c>
      <c r="E173" s="105" t="inlineStr">
        <is>
          <t>— (no sample data needed)</t>
        </is>
      </c>
      <c r="F173" s="102" t="inlineStr">
        <is>
          <t/>
        </is>
      </c>
      <c r="G173" s="104" t="str">
        <f>HYPERLINK("https://dvdaddin.dvdpm.net/en/commands/reference/btnFileTree","Open the guide")</f>
        <v>Open the guide</v>
      </c>
    </row>
    <row r="174">
      <c r="A174" s="103">
        <v>170</v>
      </c>
      <c r="B174" s="102" t="inlineStr">
        <is>
          <t>DVD Addin</t>
        </is>
      </c>
      <c r="C174" s="102" t="inlineStr">
        <is>
          <t>File and Print</t>
        </is>
      </c>
      <c r="D174" s="102" t="inlineStr">
        <is>
          <t>Create Hyperlink</t>
        </is>
      </c>
      <c r="E174" s="104" t="inlineStr">
        <is>
          <t>Create Hyperlink</t>
        </is>
      </c>
      <c r="F174" s="102" t="inlineStr">
        <is>
          <t>Select the cells that hold file paths as plain text .</t>
        </is>
      </c>
      <c r="G174" s="104" t="str">
        <f>HYPERLINK("https://dvdaddin.dvdpm.net/en/commands/reference/btnCreateHyperlink","Open the guide")</f>
        <v>Open the guide</v>
      </c>
    </row>
    <row r="175">
      <c r="A175" s="103">
        <v>171</v>
      </c>
      <c r="B175" s="102" t="inlineStr">
        <is>
          <t>DVD Addin</t>
        </is>
      </c>
      <c r="C175" s="102" t="inlineStr">
        <is>
          <t>File and Print</t>
        </is>
      </c>
      <c r="D175" s="102" t="inlineStr">
        <is>
          <t>Folder Tree</t>
        </is>
      </c>
      <c r="E175" s="105" t="inlineStr">
        <is>
          <t>— (no sample data needed)</t>
        </is>
      </c>
      <c r="F175" s="102" t="inlineStr">
        <is>
          <t/>
        </is>
      </c>
      <c r="G175" s="104" t="str">
        <f>HYPERLINK("https://dvdaddin.dvdpm.net/en/commands/reference/btnFolderTree","Open the guide")</f>
        <v>Open the guide</v>
      </c>
    </row>
    <row r="176">
      <c r="A176" s="103">
        <v>172</v>
      </c>
      <c r="B176" s="102" t="inlineStr">
        <is>
          <t>DVD Addin</t>
        </is>
      </c>
      <c r="C176" s="102" t="inlineStr">
        <is>
          <t>File and Print</t>
        </is>
      </c>
      <c r="D176" s="102" t="inlineStr">
        <is>
          <t>Create Folder</t>
        </is>
      </c>
      <c r="E176" s="104" t="inlineStr">
        <is>
          <t>Create Folder</t>
        </is>
      </c>
      <c r="F176" s="102" t="inlineStr">
        <is>
          <t>Type the folder list from row 2 down : column A = level 1, column B = level 2, column C = level 3… An empty cell keeps the parent from the row above, so you never repeat a parent name. Leave A1 empty — the command writes the parent folder path there.</t>
        </is>
      </c>
      <c r="G176" s="104" t="str">
        <f>HYPERLINK("https://dvdaddin.dvdpm.net/en/commands/reference/btnCreateFolder","Open the guide")</f>
        <v>Open the guide</v>
      </c>
    </row>
    <row r="177">
      <c r="A177" s="103">
        <v>173</v>
      </c>
      <c r="B177" s="102" t="inlineStr">
        <is>
          <t>DVD Addin</t>
        </is>
      </c>
      <c r="C177" s="102" t="inlineStr">
        <is>
          <t>File and Print</t>
        </is>
      </c>
      <c r="D177" s="102" t="inlineStr">
        <is>
          <t>UnDiacritics Folder</t>
        </is>
      </c>
      <c r="E177" s="105" t="inlineStr">
        <is>
          <t>— (no sample data needed)</t>
        </is>
      </c>
      <c r="F177" s="102" t="inlineStr">
        <is>
          <t/>
        </is>
      </c>
      <c r="G177" s="104" t="str">
        <f>HYPERLINK("https://dvdaddin.dvdpm.net/en/commands/reference/btnUnDiacriticsFolder","Open the guide")</f>
        <v>Open the guide</v>
      </c>
    </row>
    <row r="178">
      <c r="A178" s="103">
        <v>174</v>
      </c>
      <c r="B178" s="102" t="inlineStr">
        <is>
          <t>DVD Addin</t>
        </is>
      </c>
      <c r="C178" s="102" t="inlineStr">
        <is>
          <t>File and Print</t>
        </is>
      </c>
      <c r="D178" s="102" t="inlineStr">
        <is>
          <t>Resize Images</t>
        </is>
      </c>
      <c r="E178" s="105" t="inlineStr">
        <is>
          <t>— (no sample data needed)</t>
        </is>
      </c>
      <c r="F178" s="102" t="inlineStr">
        <is>
          <t/>
        </is>
      </c>
      <c r="G178" s="104" t="str">
        <f>HYPERLINK("https://dvdaddin.dvdpm.net/en/commands/reference/btnResizeImages","Open the guide")</f>
        <v>Open the guide</v>
      </c>
    </row>
    <row r="179">
      <c r="A179" s="103">
        <v>175</v>
      </c>
      <c r="B179" s="102" t="inlineStr">
        <is>
          <t>DVD Addin</t>
        </is>
      </c>
      <c r="C179" s="102" t="inlineStr">
        <is>
          <t>File and Print</t>
        </is>
      </c>
      <c r="D179" s="102" t="inlineStr">
        <is>
          <t>Export Images</t>
        </is>
      </c>
      <c r="E179" s="105" t="inlineStr">
        <is>
          <t>— (no sample data needed)</t>
        </is>
      </c>
      <c r="F179" s="102" t="inlineStr">
        <is>
          <t/>
        </is>
      </c>
      <c r="G179" s="104" t="str">
        <f>HYPERLINK("https://dvdaddin.dvdpm.net/en/commands/reference/btnExportImages","Open the guide")</f>
        <v>Open the guide</v>
      </c>
    </row>
    <row r="180">
      <c r="A180" s="103">
        <v>176</v>
      </c>
      <c r="B180" s="102" t="inlineStr">
        <is>
          <t>DVD Addin</t>
        </is>
      </c>
      <c r="C180" s="102" t="inlineStr">
        <is>
          <t>File and Print</t>
        </is>
      </c>
      <c r="D180" s="102" t="inlineStr">
        <is>
          <t>Transcribe Audio</t>
        </is>
      </c>
      <c r="E180" s="104" t="inlineStr">
        <is>
          <t>Transcribe Audio</t>
        </is>
      </c>
      <c r="F180" s="102" t="inlineStr">
        <is>
          <t>Select the cell that will receive the transcript — ideally the top of an empty column, since each line goes into its own cell below.</t>
        </is>
      </c>
      <c r="G180" s="104" t="str">
        <f>HYPERLINK("https://dvdaddin.dvdpm.net/en/commands/reference/btnTranscribeAudio","Open the guide")</f>
        <v>Open the guide</v>
      </c>
    </row>
    <row r="181">
      <c r="A181" s="103">
        <v>177</v>
      </c>
      <c r="B181" s="102" t="inlineStr">
        <is>
          <t>DVD Addin</t>
        </is>
      </c>
      <c r="C181" s="102" t="inlineStr">
        <is>
          <t>File and Print</t>
        </is>
      </c>
      <c r="D181" s="102" t="inlineStr">
        <is>
          <t>Unprotect Sheet</t>
        </is>
      </c>
      <c r="E181" s="105" t="inlineStr">
        <is>
          <t>— (no sample data needed)</t>
        </is>
      </c>
      <c r="F181" s="102" t="inlineStr">
        <is>
          <t/>
        </is>
      </c>
      <c r="G181" s="104" t="str">
        <f>HYPERLINK("https://dvdaddin.dvdpm.net/en/commands/reference/btnUnprotectSheet","Open the guide")</f>
        <v>Open the guide</v>
      </c>
    </row>
    <row r="182">
      <c r="A182" s="103">
        <v>178</v>
      </c>
      <c r="B182" s="102" t="inlineStr">
        <is>
          <t>DVD Addin</t>
        </is>
      </c>
      <c r="C182" s="102" t="inlineStr">
        <is>
          <t>File and Print</t>
        </is>
      </c>
      <c r="D182" s="102" t="inlineStr">
        <is>
          <t>Read PDF</t>
        </is>
      </c>
      <c r="E182" s="105" t="inlineStr">
        <is>
          <t>— (no sample data needed)</t>
        </is>
      </c>
      <c r="F182" s="102" t="inlineStr">
        <is>
          <t/>
        </is>
      </c>
      <c r="G182" s="104" t="str">
        <f>HYPERLINK("https://dvdaddin.dvdpm.net/en/commands/reference/btnReadPdf","Open the guide")</f>
        <v>Open the guide</v>
      </c>
    </row>
    <row r="183">
      <c r="A183" s="103">
        <v>179</v>
      </c>
      <c r="B183" s="102" t="inlineStr">
        <is>
          <t>DVD Addin</t>
        </is>
      </c>
      <c r="C183" s="102" t="inlineStr">
        <is>
          <t>File and Print</t>
        </is>
      </c>
      <c r="D183" s="102" t="inlineStr">
        <is>
          <t>PDF Manager</t>
        </is>
      </c>
      <c r="E183" s="105" t="inlineStr">
        <is>
          <t>— (no sample data needed)</t>
        </is>
      </c>
      <c r="F183" s="102" t="inlineStr">
        <is>
          <t/>
        </is>
      </c>
      <c r="G183" s="104" t="str">
        <f>HYPERLINK("https://dvdaddin.dvdpm.net/en/commands/reference/btnPdfManager","Open the guide")</f>
        <v>Open the guide</v>
      </c>
    </row>
    <row r="184">
      <c r="A184" s="103">
        <v>180</v>
      </c>
      <c r="B184" s="102" t="inlineStr">
        <is>
          <t>DVD Addin</t>
        </is>
      </c>
      <c r="C184" s="102" t="inlineStr">
        <is>
          <t>File and Print</t>
        </is>
      </c>
      <c r="D184" s="102" t="inlineStr">
        <is>
          <t>Stamp PDF</t>
        </is>
      </c>
      <c r="E184" s="105" t="inlineStr">
        <is>
          <t>— (no sample data needed)</t>
        </is>
      </c>
      <c r="F184" s="102" t="inlineStr">
        <is>
          <t/>
        </is>
      </c>
      <c r="G184" s="104" t="str">
        <f>HYPERLINK("https://dvdaddin.dvdpm.net/en/commands/reference/btnPdfStamp","Open the guide")</f>
        <v>Open the guide</v>
      </c>
    </row>
    <row r="185">
      <c r="A185" s="103">
        <v>181</v>
      </c>
      <c r="B185" s="102" t="inlineStr">
        <is>
          <t>DVD Addin</t>
        </is>
      </c>
      <c r="C185" s="102" t="inlineStr">
        <is>
          <t>File and Print</t>
        </is>
      </c>
      <c r="D185" s="102" t="inlineStr">
        <is>
          <t>Word → PDF</t>
        </is>
      </c>
      <c r="E185" s="105" t="inlineStr">
        <is>
          <t>— (no sample data needed)</t>
        </is>
      </c>
      <c r="F185" s="102" t="inlineStr">
        <is>
          <t/>
        </is>
      </c>
      <c r="G185" s="104" t="str">
        <f>HYPERLINK("https://dvdaddin.dvdpm.net/en/commands/reference/btnWordtoPDF","Open the guide")</f>
        <v>Open the guide</v>
      </c>
    </row>
    <row r="186">
      <c r="A186" s="103">
        <v>182</v>
      </c>
      <c r="B186" s="102" t="inlineStr">
        <is>
          <t>DVD Addin</t>
        </is>
      </c>
      <c r="C186" s="102" t="inlineStr">
        <is>
          <t>File and Print</t>
        </is>
      </c>
      <c r="D186" s="102" t="inlineStr">
        <is>
          <t>Visio → PDF</t>
        </is>
      </c>
      <c r="E186" s="105" t="inlineStr">
        <is>
          <t>— (no sample data needed)</t>
        </is>
      </c>
      <c r="F186" s="102" t="inlineStr">
        <is>
          <t/>
        </is>
      </c>
      <c r="G186" s="104" t="str">
        <f>HYPERLINK("https://dvdaddin.dvdpm.net/en/commands/reference/btnVisiotoPDF","Open the guide")</f>
        <v>Open the guide</v>
      </c>
    </row>
    <row r="187">
      <c r="A187" s="103">
        <v>183</v>
      </c>
      <c r="B187" s="102" t="inlineStr">
        <is>
          <t>DVD Addin</t>
        </is>
      </c>
      <c r="C187" s="102" t="inlineStr">
        <is>
          <t>File and Print</t>
        </is>
      </c>
      <c r="D187" s="102" t="inlineStr">
        <is>
          <t>OCR file</t>
        </is>
      </c>
      <c r="E187" s="104" t="inlineStr">
        <is>
          <t>OCR file</t>
        </is>
      </c>
      <c r="F187" s="102" t="inlineStr">
        <is>
          <t>Select the cell that will receive the first line of the result . The text runs down the cells below in the same column, so keep that area empty.</t>
        </is>
      </c>
      <c r="G187" s="104" t="str">
        <f>HYPERLINK("https://dvdaddin.dvdpm.net/en/commands/reference/btnOCR","Open the guide")</f>
        <v>Open the guide</v>
      </c>
    </row>
    <row r="188">
      <c r="A188" s="103">
        <v>184</v>
      </c>
      <c r="B188" s="102" t="inlineStr">
        <is>
          <t>DVD Addin</t>
        </is>
      </c>
      <c r="C188" s="102" t="inlineStr">
        <is>
          <t>File and Print</t>
        </is>
      </c>
      <c r="D188" s="102" t="inlineStr">
        <is>
          <t>Extract Table</t>
        </is>
      </c>
      <c r="E188" s="104" t="inlineStr">
        <is>
          <t>Extract Table</t>
        </is>
      </c>
      <c r="F188" s="102" t="inlineStr">
        <is>
          <t>Select the cell that will be the top-left corner of the pasted table .</t>
        </is>
      </c>
      <c r="G188" s="104" t="str">
        <f>HYPERLINK("https://dvdaddin.dvdpm.net/en/commands/reference/btnExtractTable","Open the guide")</f>
        <v>Open the guide</v>
      </c>
    </row>
    <row r="189">
      <c r="A189" s="103">
        <v>185</v>
      </c>
      <c r="B189" s="102" t="inlineStr">
        <is>
          <t>DVD Addin</t>
        </is>
      </c>
      <c r="C189" s="102" t="inlineStr">
        <is>
          <t>File and Print</t>
        </is>
      </c>
      <c r="D189" s="102" t="inlineStr">
        <is>
          <t>OCR Screen Clip</t>
        </is>
      </c>
      <c r="E189" s="104" t="inlineStr">
        <is>
          <t>OCR Screen Clip</t>
        </is>
      </c>
      <c r="F189" s="102" t="inlineStr">
        <is>
          <t>Open the window holding the content you need (PDF, estimating software, drawing, web page…), switch back to Excel and select the cell that will receive the text .</t>
        </is>
      </c>
      <c r="G189" s="104" t="str">
        <f>HYPERLINK("https://dvdaddin.dvdpm.net/en/commands/reference/btnScreenClipOCR","Open the guide")</f>
        <v>Open the guide</v>
      </c>
    </row>
    <row r="190">
      <c r="A190" s="103">
        <v>186</v>
      </c>
      <c r="B190" s="102" t="inlineStr">
        <is>
          <t>DVD Addin</t>
        </is>
      </c>
      <c r="C190" s="102" t="inlineStr">
        <is>
          <t>File and Print</t>
        </is>
      </c>
      <c r="D190" s="102" t="inlineStr">
        <is>
          <t>Batch print</t>
        </is>
      </c>
      <c r="E190" s="104" t="inlineStr">
        <is>
          <t>Batch print</t>
        </is>
      </c>
      <c r="F190" s="102" t="inlineStr">
        <is>
          <t>Build the form so that it is driven by one control cell — here B3 holds the element number and the cells below use VLOOKUP on B3. Add a cell listing the sheets to print, separated by + , and a cell building the PDF file name for each loop, e.g. ="BBNT_Cot_"&amp;B3 .</t>
        </is>
      </c>
      <c r="G190" s="104" t="str">
        <f>HYPERLINK("https://dvdaddin.dvdpm.net/en/commands/reference/btnBatchPrint","Open the guide")</f>
        <v>Open the guide</v>
      </c>
    </row>
    <row r="191">
      <c r="A191" s="103">
        <v>187</v>
      </c>
      <c r="B191" s="102" t="inlineStr">
        <is>
          <t>DVD Addin</t>
        </is>
      </c>
      <c r="C191" s="102" t="inlineStr">
        <is>
          <t>File and Print</t>
        </is>
      </c>
      <c r="D191" s="102" t="inlineStr">
        <is>
          <t>Set page margins</t>
        </is>
      </c>
      <c r="E191" s="104" t="inlineStr">
        <is>
          <t>Set page margins</t>
        </is>
      </c>
      <c r="F191" s="102" t="inlineStr">
        <is>
          <t>Select the sheets to set up: click the first sheet tab , then hold Shift and click the last one for a run of tabs (or hold Ctrl for individual tabs) — here the four record sheets BB-01 … BB-04.</t>
        </is>
      </c>
      <c r="G191" s="104" t="str">
        <f>HYPERLINK("https://dvdaddin.dvdpm.net/en/commands/reference/btnSetPageMargins","Open the guide")</f>
        <v>Open the guide</v>
      </c>
    </row>
    <row r="192">
      <c r="A192" s="103">
        <v>188</v>
      </c>
      <c r="B192" s="102" t="inlineStr">
        <is>
          <t>DVD Addin</t>
        </is>
      </c>
      <c r="C192" s="102" t="inlineStr">
        <is>
          <t>File and Print</t>
        </is>
      </c>
      <c r="D192" s="102" t="inlineStr">
        <is>
          <t>Sync page setup</t>
        </is>
      </c>
      <c r="E192" s="105" t="inlineStr">
        <is>
          <t>— (no sample data needed)</t>
        </is>
      </c>
      <c r="F192" s="102" t="inlineStr">
        <is>
          <t/>
        </is>
      </c>
      <c r="G192" s="104" t="str">
        <f>HYPERLINK("https://dvdaddin.dvdpm.net/en/commands/reference/btnSyncPageSetup","Open the guide")</f>
        <v>Open the guide</v>
      </c>
    </row>
    <row r="193">
      <c r="A193" s="103">
        <v>189</v>
      </c>
      <c r="B193" s="102" t="inlineStr">
        <is>
          <t>DVD Addin</t>
        </is>
      </c>
      <c r="C193" s="102" t="inlineStr">
        <is>
          <t>File and Print</t>
        </is>
      </c>
      <c r="D193" s="102" t="inlineStr">
        <is>
          <t>Print pages</t>
        </is>
      </c>
      <c r="E193" s="105" t="inlineStr">
        <is>
          <t>— (no sample data needed)</t>
        </is>
      </c>
      <c r="F193" s="102" t="inlineStr">
        <is>
          <t/>
        </is>
      </c>
      <c r="G193" s="104" t="str">
        <f>HYPERLINK("https://dvdaddin.dvdpm.net/en/commands/reference/btnPrintPages","Open the guide")</f>
        <v>Open the guide</v>
      </c>
    </row>
    <row r="194">
      <c r="A194" s="103">
        <v>190</v>
      </c>
      <c r="B194" s="102" t="inlineStr">
        <is>
          <t>DVD Addin</t>
        </is>
      </c>
      <c r="C194" s="102" t="inlineStr">
        <is>
          <t>File and Print</t>
        </is>
      </c>
      <c r="D194" s="102" t="inlineStr">
        <is>
          <t>Mirror margins</t>
        </is>
      </c>
      <c r="E194" s="105" t="inlineStr">
        <is>
          <t>— (no sample data needed)</t>
        </is>
      </c>
      <c r="F194" s="102" t="inlineStr">
        <is>
          <t/>
        </is>
      </c>
      <c r="G194" s="104" t="str">
        <f>HYPERLINK("https://dvdaddin.dvdpm.net/en/commands/reference/btnPrintMirrorMargins","Open the guide")</f>
        <v>Open the guide</v>
      </c>
    </row>
    <row r="195">
      <c r="A195" s="103">
        <v>191</v>
      </c>
      <c r="B195" s="102" t="inlineStr">
        <is>
          <t>DVD Addin</t>
        </is>
      </c>
      <c r="C195" s="102" t="inlineStr">
        <is>
          <t>File and Print</t>
        </is>
      </c>
      <c r="D195" s="102" t="inlineStr">
        <is>
          <t>Sheets → PDF</t>
        </is>
      </c>
      <c r="E195" s="104" t="inlineStr">
        <is>
          <t>Sheets → PDF</t>
        </is>
      </c>
      <c r="F195" s="102" t="inlineStr">
        <is>
          <t>Save the workbook first (the PDFs go into the workbook's folder). Select the sheets to export: click the first tab , then hold Ctrl and click , (or Shift for a run of tabs) — leave the internal calculation sheets unselected.</t>
        </is>
      </c>
      <c r="G195" s="104" t="str">
        <f>HYPERLINK("https://dvdaddin.dvdpm.net/en/commands/reference/btnSelectedSheetsToPDF","Open the guide")</f>
        <v>Open the guide</v>
      </c>
    </row>
    <row r="196">
      <c r="A196" s="103">
        <v>192</v>
      </c>
      <c r="B196" s="102" t="inlineStr">
        <is>
          <t>DVD Addin</t>
        </is>
      </c>
      <c r="C196" s="102" t="inlineStr">
        <is>
          <t>File and Print</t>
        </is>
      </c>
      <c r="D196" s="102" t="inlineStr">
        <is>
          <t>Send Email</t>
        </is>
      </c>
      <c r="E196" s="104" t="inlineStr">
        <is>
          <t>Send Email</t>
        </is>
      </c>
      <c r="F196" s="102" t="inlineStr">
        <is>
          <t>Prepare a data sheet with one row per e-mail (the Email Template gives you the layout). Cell B3 is the driver cell ; row 3 uses VLOOKUP on B3 to return the sender, To, Cc, Bcc, subject… of the matching row — the fields of the Send Email window point at this row.</t>
        </is>
      </c>
      <c r="G196" s="104" t="str">
        <f>HYPERLINK("https://dvdaddin.dvdpm.net/en/commands/reference/btnSendEmail","Open the guide")</f>
        <v>Open the guide</v>
      </c>
    </row>
    <row r="197">
      <c r="A197" s="103">
        <v>193</v>
      </c>
      <c r="B197" s="102" t="inlineStr">
        <is>
          <t>DVD Addin</t>
        </is>
      </c>
      <c r="C197" s="102" t="inlineStr">
        <is>
          <t>File and Print</t>
        </is>
      </c>
      <c r="D197" s="102" t="inlineStr">
        <is>
          <t>Import Email</t>
        </is>
      </c>
      <c r="E197" s="105" t="inlineStr">
        <is>
          <t>— (no sample data needed)</t>
        </is>
      </c>
      <c r="F197" s="102" t="inlineStr">
        <is>
          <t/>
        </is>
      </c>
      <c r="G197" s="104" t="str">
        <f>HYPERLINK("https://dvdaddin.dvdpm.net/en/commands/reference/btnImportEmails","Open the guide")</f>
        <v>Open the guide</v>
      </c>
    </row>
    <row r="198">
      <c r="A198" s="103">
        <v>194</v>
      </c>
      <c r="B198" s="102" t="inlineStr">
        <is>
          <t>DVD Addin</t>
        </is>
      </c>
      <c r="C198" s="102" t="inlineStr">
        <is>
          <t>File and Print</t>
        </is>
      </c>
      <c r="D198" s="102" t="inlineStr">
        <is>
          <t>Email Template</t>
        </is>
      </c>
      <c r="E198" s="104" t="inlineStr">
        <is>
          <t>Email Template</t>
        </is>
      </c>
      <c r="F198" s="102" t="inlineStr">
        <is>
          <t>The template SendEmail.xlsx (from the add-in's Template folder) opens. Row 9 is the fixed header row : No., Send Date, Sender Email, To, Cc, Bcc, Subject, Name, Company, Body, Link, Attachment, Note — one e-mail per row from row 10; replace the sample rows with your own data . Cell B8 is the driver; row 8 pulls the row whose No. equals B8 .</t>
        </is>
      </c>
      <c r="G198" s="104" t="str">
        <f>HYPERLINK("https://dvdaddin.dvdpm.net/en/commands/reference/btnEmailTpl","Open the guide")</f>
        <v>Open the guide</v>
      </c>
    </row>
    <row r="199">
      <c r="A199" s="103">
        <v>195</v>
      </c>
      <c r="B199" s="102" t="inlineStr">
        <is>
          <t>DVD Addin</t>
        </is>
      </c>
      <c r="C199" s="102" t="inlineStr">
        <is>
          <t>File and Print</t>
        </is>
      </c>
      <c r="D199" s="102" t="inlineStr">
        <is>
          <t>Merge to Word</t>
        </is>
      </c>
      <c r="E199" s="104" t="inlineStr">
        <is>
          <t>Merge to Word</t>
        </is>
      </c>
      <c r="F199" s="102" t="inlineStr">
        <is>
          <t>Prepare the data range with column headers in the first row — each header is the placeholder name used in the Word template, e.g. template BBNT_Cong.docx contains Today, [NgayNghiemThu], at chainage [LyTrinh]…. Every row below produces one Word file.</t>
        </is>
      </c>
      <c r="G199" s="104" t="str">
        <f>HYPERLINK("https://dvdaddin.dvdpm.net/en/commands/reference/btnMergeWord","Open the guide")</f>
        <v>Open the guide</v>
      </c>
    </row>
    <row r="200">
      <c r="A200" s="103">
        <v>196</v>
      </c>
      <c r="B200" s="102" t="inlineStr">
        <is>
          <t>DVD Addin</t>
        </is>
      </c>
      <c r="C200" s="102" t="inlineStr">
        <is>
          <t>File and Print</t>
        </is>
      </c>
      <c r="D200" s="102" t="inlineStr">
        <is>
          <t>Create Title</t>
        </is>
      </c>
      <c r="E200" s="104" t="inlineStr">
        <is>
          <t>Create Title</t>
        </is>
      </c>
      <c r="F200" s="102" t="inlineStr">
        <is>
          <t>The DVD Addin — Create title row box asks you to Select Title row to wrap with [...]: drag over the header row A3:F3 and click OK (Cancel leaves everything unchanged).</t>
        </is>
      </c>
      <c r="G200" s="104" t="str">
        <f>HYPERLINK("https://dvdaddin.dvdpm.net/en/commands/reference/btnCreateTitle","Open the guide")</f>
        <v>Open the guide</v>
      </c>
    </row>
    <row r="201">
      <c r="A201" s="103">
        <v>197</v>
      </c>
      <c r="B201" s="102" t="inlineStr">
        <is>
          <t>DVD Addin</t>
        </is>
      </c>
      <c r="C201" s="102" t="inlineStr">
        <is>
          <t>View and Sheets</t>
        </is>
      </c>
      <c r="D201" s="102" t="inlineStr">
        <is>
          <t>Reading Layout</t>
        </is>
      </c>
      <c r="E201" s="104" t="inlineStr">
        <is>
          <t>Reading Layout</t>
        </is>
      </c>
      <c r="F201" s="102" t="inlineStr">
        <is>
          <t>Select any cell, for example the Amount on row 8: its whole row and column are covered by a translucent tint (by default cyan at 50%, row and column), leaving the selected cell itself clear. Move the selection with the mouse or arrow keys and the highlight follows.</t>
        </is>
      </c>
      <c r="G201" s="104" t="str">
        <f>HYPERLINK("https://dvdaddin.dvdpm.net/en/commands/reference/ToggleReadingLayout","Open the guide")</f>
        <v>Open the guide</v>
      </c>
    </row>
    <row r="202">
      <c r="A202" s="103">
        <v>198</v>
      </c>
      <c r="B202" s="102" t="inlineStr">
        <is>
          <t>DVD Addin</t>
        </is>
      </c>
      <c r="C202" s="102" t="inlineStr">
        <is>
          <t>View and Sheets</t>
        </is>
      </c>
      <c r="D202" s="102" t="inlineStr">
        <is>
          <t>Sheet List</t>
        </is>
      </c>
      <c r="E202" s="104" t="inlineStr">
        <is>
          <t>Sheet List</t>
        </is>
      </c>
      <c r="F202" s="102" t="inlineStr">
        <is>
          <t>Open the workbook to index. The link back to the index is written into the same cell on every visible sheet — cell A1 by default — so keep that cell empty.</t>
        </is>
      </c>
      <c r="G202" s="104" t="str">
        <f>HYPERLINK("https://dvdaddin.dvdpm.net/en/commands/reference/btnSheetList","Open the guide")</f>
        <v>Open the guide</v>
      </c>
    </row>
    <row r="203">
      <c r="A203" s="103">
        <v>199</v>
      </c>
      <c r="B203" s="102" t="inlineStr">
        <is>
          <t>DVD Addin</t>
        </is>
      </c>
      <c r="C203" s="102" t="inlineStr">
        <is>
          <t>View and Sheets</t>
        </is>
      </c>
      <c r="D203" s="102" t="inlineStr">
        <is>
          <t>Rename Sheets</t>
        </is>
      </c>
      <c r="E203" s="104" t="inlineStr">
        <is>
          <t>Rename Sheets</t>
        </is>
      </c>
      <c r="F203" s="102" t="inlineStr">
        <is>
          <t>On any sheet, build a table of two adjacent columns: the current sheet name on the left and the new name on the right .</t>
        </is>
      </c>
      <c r="G203" s="104" t="str">
        <f>HYPERLINK("https://dvdaddin.dvdpm.net/en/commands/reference/btnRenameSheets","Open the guide")</f>
        <v>Open the guide</v>
      </c>
    </row>
    <row r="204">
      <c r="A204" s="103">
        <v>200</v>
      </c>
      <c r="B204" s="102" t="inlineStr">
        <is>
          <t>DVD Addin</t>
        </is>
      </c>
      <c r="C204" s="102" t="inlineStr">
        <is>
          <t>View and Sheets</t>
        </is>
      </c>
      <c r="D204" s="102" t="inlineStr">
        <is>
          <t>Sheet Numbering</t>
        </is>
      </c>
      <c r="E204" s="104" t="inlineStr">
        <is>
          <t>Sheet Numbering</t>
        </is>
      </c>
      <c r="F204" s="102" t="inlineStr">
        <is>
          <t>⚠ This command acts on EVERY sheet of the workbook: Ctrl-select the sheets Sheet Numbering, right-click → Move or Copy → (new book), tick Create a copy, and try it in the new workbook. Drag the tabs into the reading/printing order you want. Hide any working sheet that should not be numbered — hidden sheets are skipped and take no number.</t>
        </is>
      </c>
      <c r="G204" s="104" t="str">
        <f>HYPERLINK("https://dvdaddin.dvdpm.net/en/commands/reference/btnSheetAutoNumber","Open the guide")</f>
        <v>Open the guide</v>
      </c>
    </row>
    <row r="205">
      <c r="A205" s="103">
        <v>201</v>
      </c>
      <c r="B205" s="102" t="inlineStr">
        <is>
          <t>DVD Addin</t>
        </is>
      </c>
      <c r="C205" s="102" t="inlineStr">
        <is>
          <t>View and Sheets</t>
        </is>
      </c>
      <c r="D205" s="102" t="inlineStr">
        <is>
          <t>UnDiacritics</t>
        </is>
      </c>
      <c r="E205" s="104" t="inlineStr">
        <is>
          <t>UnDiacritics, Khối lượng móng, Đài móng - Cọc, Nghiệm thu thép, Phụ lục 01</t>
        </is>
      </c>
      <c r="F205" s="102" t="inlineStr">
        <is>
          <t>⚠ This command acts on EVERY sheet of the workbook: Ctrl-select the sheets UnDiacritics, Khối lượng móng, Đài móng - Cọc, Nghiệm thu thép, Phụ lục 01, right-click → Move or Copy → (new book), tick Create a copy, and try it in the new workbook. Open the workbook whose sheet names contain Vietnamese accents. The command processes every sheet of the active workbook, hidden ones included. Cell D4 refers to the Khối lượng móng sheet.</t>
        </is>
      </c>
      <c r="G205" s="104" t="str">
        <f>HYPERLINK("https://dvdaddin.dvdpm.net/en/commands/reference/btnUnDiacriticsViSheets","Open the guide")</f>
        <v>Open the guide</v>
      </c>
    </row>
    <row r="206">
      <c r="A206" s="103">
        <v>202</v>
      </c>
      <c r="B206" s="102" t="inlineStr">
        <is>
          <t>DVD Addin</t>
        </is>
      </c>
      <c r="C206" s="102" t="inlineStr">
        <is>
          <t>View and Sheets</t>
        </is>
      </c>
      <c r="D206" s="102" t="inlineStr">
        <is>
          <t>Hide Unselected</t>
        </is>
      </c>
      <c r="E206" s="104" t="inlineStr">
        <is>
          <t>Hide Unselected, KL-Mong, KL-Than, DonGia-NoiBo, Chietinh, Phuluc, Nhap1</t>
        </is>
      </c>
      <c r="F206" s="102" t="inlineStr">
        <is>
          <t>⚠ This command acts on EVERY sheet of the workbook: Ctrl-select the sheets Hide Unselected, KL-Mong, KL-Than, DonGia-NoiBo, Chietinh, Phuluc, Nhap1, right-click → Move or Copy → (new book), tick Create a copy, and try it in the new workbook. In the tab bar, select the sheets you want to keep: click Tonghop , then Ctrl-click KL-Mong , KL-Than and Phuluc (Shift-click takes a contiguous run). Here DonGia-NoiBo, Chietinh and Nhap1 are internal figures that must not leave the office.</t>
        </is>
      </c>
      <c r="G206" s="104" t="str">
        <f>HYPERLINK("https://dvdaddin.dvdpm.net/en/commands/reference/btnHideUnselectedSheets","Open the guide")</f>
        <v>Open the guide</v>
      </c>
    </row>
    <row r="207">
      <c r="A207" s="103">
        <v>203</v>
      </c>
      <c r="B207" s="102" t="inlineStr">
        <is>
          <t>DVD Addin</t>
        </is>
      </c>
      <c r="C207" s="102" t="inlineStr">
        <is>
          <t>View and Sheets</t>
        </is>
      </c>
      <c r="D207" s="102" t="inlineStr">
        <is>
          <t>Unhide All</t>
        </is>
      </c>
      <c r="E207" s="104" t="inlineStr">
        <is>
          <t>Unhide All, Chietinh-VT, Giavatlieu, DonGia-CT, KL, Phuluc (2)</t>
        </is>
      </c>
      <c r="F207" s="102" t="inlineStr">
        <is>
          <t>⚠ This command acts on EVERY sheet of the workbook: Ctrl-select the sheets Unhide All, Chietinh-VT, Giavatlieu, DonGia-CT, KL, Phuluc (2), right-click → Move or Copy → (new book), tick Create a copy, and try it in the new workbook. Open the workbook to unhide. Here an estimate received from the consultant shows only 3 sheets, yet the unit rate refers to a Chietinh-VT sheet that is not in the tab bar — a sure sign of hidden sheets.</t>
        </is>
      </c>
      <c r="G207" s="104" t="str">
        <f>HYPERLINK("https://dvdaddin.dvdpm.net/en/commands/reference/btnUnhideAllSheets","Open the guide")</f>
        <v>Open the guide</v>
      </c>
    </row>
    <row r="208">
      <c r="A208" s="103">
        <v>204</v>
      </c>
      <c r="B208" s="102" t="inlineStr">
        <is>
          <t>DVD Addin</t>
        </is>
      </c>
      <c r="C208" s="102" t="inlineStr">
        <is>
          <t>View and Sheets</t>
        </is>
      </c>
      <c r="D208" s="102" t="inlineStr">
        <is>
          <t>Navigation</t>
        </is>
      </c>
      <c r="E208" s="105" t="inlineStr">
        <is>
          <t>— (no sample data needed)</t>
        </is>
      </c>
      <c r="F208" s="102" t="inlineStr">
        <is>
          <t/>
        </is>
      </c>
      <c r="G208" s="104" t="str">
        <f>HYPERLINK("https://dvdaddin.dvdpm.net/en/commands/reference/btnNavigation","Open the guide")</f>
        <v>Open the guide</v>
      </c>
    </row>
    <row r="209">
      <c r="A209" s="103">
        <v>205</v>
      </c>
      <c r="B209" s="102" t="inlineStr">
        <is>
          <t>DVD Addin</t>
        </is>
      </c>
      <c r="C209" s="102" t="inlineStr">
        <is>
          <t>View and Sheets</t>
        </is>
      </c>
      <c r="D209" s="102" t="inlineStr">
        <is>
          <t>Tab Bar</t>
        </is>
      </c>
      <c r="E209" s="105" t="inlineStr">
        <is>
          <t>— (no sample data needed)</t>
        </is>
      </c>
      <c r="F209" s="102" t="inlineStr">
        <is>
          <t/>
        </is>
      </c>
      <c r="G209" s="104" t="str">
        <f>HYPERLINK("https://dvdaddin.dvdpm.net/en/commands/reference/ToggleTabBar","Open the guide")</f>
        <v>Open the guide</v>
      </c>
    </row>
    <row r="210">
      <c r="A210" s="103">
        <v>206</v>
      </c>
      <c r="B210" s="102" t="inlineStr">
        <is>
          <t>DVD Addin</t>
        </is>
      </c>
      <c r="C210" s="102" t="inlineStr">
        <is>
          <t>View and Sheets</t>
        </is>
      </c>
      <c r="D210" s="102" t="inlineStr">
        <is>
          <t>View Image</t>
        </is>
      </c>
      <c r="E210" s="104" t="inlineStr">
        <is>
          <t>View Image</t>
        </is>
      </c>
      <c r="F210" s="102" t="inlineStr">
        <is>
          <t>The add-in arms every picture on the sheet that has no macro of its own and reports the count in the status bar (in the picture, the grey cells stand for the photos). The mode is remembered: when you switch to another sheet or workbook, its pictures are armed automatically.</t>
        </is>
      </c>
      <c r="G210" s="104" t="str">
        <f>HYPERLINK("https://dvdaddin.dvdpm.net/en/commands/reference/ToggleViewImage","Open the guide")</f>
        <v>Open the guide</v>
      </c>
    </row>
    <row r="211">
      <c r="A211" s="103">
        <v>207</v>
      </c>
      <c r="B211" s="102" t="inlineStr">
        <is>
          <t>DVD Addin</t>
        </is>
      </c>
      <c r="C211" s="102" t="inlineStr">
        <is>
          <t>View and Sheets</t>
        </is>
      </c>
      <c r="D211" s="102" t="inlineStr">
        <is>
          <t>Hide Empty Rows</t>
        </is>
      </c>
      <c r="E211" s="104" t="inlineStr">
        <is>
          <t>Hide Empty Rows</t>
        </is>
      </c>
      <c r="F211" s="102" t="inlineStr">
        <is>
          <t>Excel's range picker appears (Select data range). Drag-select the range to check, covering exactly the columns that hold data — here the printed form has 10 rows but only 5 are used, rows 9–13 are blank — then click OK. Hold Ctrl to add separate areas.</t>
        </is>
      </c>
      <c r="G211" s="104" t="str">
        <f>HYPERLINK("https://dvdaddin.dvdpm.net/en/commands/reference/btnHideEmptyRows","Open the guide")</f>
        <v>Open the guide</v>
      </c>
    </row>
    <row r="212">
      <c r="A212" s="103">
        <v>208</v>
      </c>
      <c r="B212" s="102" t="inlineStr">
        <is>
          <t>DVD Addin</t>
        </is>
      </c>
      <c r="C212" s="102" t="inlineStr">
        <is>
          <t>View and Sheets</t>
        </is>
      </c>
      <c r="D212" s="102" t="inlineStr">
        <is>
          <t>Reset Note</t>
        </is>
      </c>
      <c r="E212" s="105" t="inlineStr">
        <is>
          <t>— (no sample data needed)</t>
        </is>
      </c>
      <c r="F212" s="102" t="inlineStr">
        <is>
          <t/>
        </is>
      </c>
      <c r="G212" s="104" t="str">
        <f>HYPERLINK("https://dvdaddin.dvdpm.net/en/commands/reference/btnResetNote","Open the guide")</f>
        <v>Open the guide</v>
      </c>
    </row>
    <row r="213">
      <c r="A213" s="103">
        <v>209</v>
      </c>
      <c r="B213" s="102" t="inlineStr">
        <is>
          <t>DVD Addin</t>
        </is>
      </c>
      <c r="C213" s="102" t="inlineStr">
        <is>
          <t>AI</t>
        </is>
      </c>
      <c r="D213" s="102" t="inlineStr">
        <is>
          <t>AI Chat</t>
        </is>
      </c>
      <c r="E213" s="105" t="inlineStr">
        <is>
          <t>— (no sample data needed)</t>
        </is>
      </c>
      <c r="F213" s="102" t="inlineStr">
        <is>
          <t/>
        </is>
      </c>
      <c r="G213" s="104" t="str">
        <f>HYPERLINK("https://dvdaddin.dvdpm.net/en/commands/reference/btnAIAssistant","Open the guide")</f>
        <v>Open the guide</v>
      </c>
    </row>
    <row r="214">
      <c r="A214" s="103">
        <v>210</v>
      </c>
      <c r="B214" s="102" t="inlineStr">
        <is>
          <t>DVD Addin</t>
        </is>
      </c>
      <c r="C214" s="102" t="inlineStr">
        <is>
          <t>AI</t>
        </is>
      </c>
      <c r="D214" s="102" t="inlineStr">
        <is>
          <t>Explain formula (Coach)</t>
        </is>
      </c>
      <c r="E214" s="104" t="inlineStr">
        <is>
          <t>Explain formula (Coach), Pour log</t>
        </is>
      </c>
      <c r="F214" s="102" t="inlineStr">
        <is>
          <t>Select the cell whose formula you want explained — here a SUMPRODUCT over named ranges .</t>
        </is>
      </c>
      <c r="G214" s="104" t="str">
        <f>HYPERLINK("https://dvdaddin.dvdpm.net/en/commands/reference/btnFormulaExplain","Open the guide")</f>
        <v>Open the guide</v>
      </c>
    </row>
    <row r="215">
      <c r="A215" s="103">
        <v>211</v>
      </c>
      <c r="B215" s="102" t="inlineStr">
        <is>
          <t>DVD Addin</t>
        </is>
      </c>
      <c r="C215" s="102" t="inlineStr">
        <is>
          <t>AI</t>
        </is>
      </c>
      <c r="D215" s="102" t="inlineStr">
        <is>
          <t>Fix formula error</t>
        </is>
      </c>
      <c r="E215" s="104" t="inlineStr">
        <is>
          <t>Fix formula error, DonGia</t>
        </is>
      </c>
      <c r="F215" s="102" t="inlineStr">
        <is>
          <t>Select one cell that shows an error — here a VLOOKUP returning #N/A .</t>
        </is>
      </c>
      <c r="G215" s="104" t="str">
        <f>HYPERLINK("https://dvdaddin.dvdpm.net/en/commands/reference/btnFormulaFix","Open the guide")</f>
        <v>Open the guide</v>
      </c>
    </row>
    <row r="216">
      <c r="A216" s="103">
        <v>212</v>
      </c>
      <c r="B216" s="102" t="inlineStr">
        <is>
          <t>DVD Addin</t>
        </is>
      </c>
      <c r="C216" s="102" t="inlineStr">
        <is>
          <t>AI</t>
        </is>
      </c>
      <c r="D216" s="102" t="inlineStr">
        <is>
          <t>Grammar</t>
        </is>
      </c>
      <c r="E216" s="104" t="inlineStr">
        <is>
          <t>Grammar</t>
        </is>
      </c>
      <c r="F216" s="102" t="inlineStr">
        <is>
          <t>Select the cells whose text needs spelling and grammar fixes — numbers, blanks and formula cells are skipped.</t>
        </is>
      </c>
      <c r="G216" s="104" t="str">
        <f>HYPERLINK("https://dvdaddin.dvdpm.net/en/commands/reference/btnAIGrammarly","Open the guide")</f>
        <v>Open the guide</v>
      </c>
    </row>
    <row r="217">
      <c r="A217" s="103">
        <v>213</v>
      </c>
      <c r="B217" s="102" t="inlineStr">
        <is>
          <t>DVD Addin</t>
        </is>
      </c>
      <c r="C217" s="102" t="inlineStr">
        <is>
          <t>AI</t>
        </is>
      </c>
      <c r="D217" s="102" t="inlineStr">
        <is>
          <t>Solver</t>
        </is>
      </c>
      <c r="E217" s="104" t="inlineStr">
        <is>
          <t>Solver</t>
        </is>
      </c>
      <c r="F217" s="102" t="inlineStr">
        <is>
          <t>Select the cell that will receive the answers — the command writes to the active cell.</t>
        </is>
      </c>
      <c r="G217" s="104" t="str">
        <f>HYPERLINK("https://dvdaddin.dvdpm.net/en/commands/reference/btnAISolver","Open the guide")</f>
        <v>Open the guide</v>
      </c>
    </row>
    <row r="218">
      <c r="A218" s="103">
        <v>214</v>
      </c>
      <c r="B218" s="102" t="inlineStr">
        <is>
          <t>DVD Addin</t>
        </is>
      </c>
      <c r="C218" s="102" t="inlineStr">
        <is>
          <t>AI</t>
        </is>
      </c>
      <c r="D218" s="102" t="inlineStr">
        <is>
          <t>DVD Chat</t>
        </is>
      </c>
      <c r="E218" s="104" t="inlineStr">
        <is>
          <t>DVD Chat</t>
        </is>
      </c>
      <c r="F218" s="102" t="inlineStr">
        <is>
          <t>To discuss exact figures: select the range on the sheet , click the 📋 button (attach the selected Excel cell / range) in the chat pane, write your message and send — the message carries the reference and the data of that range.</t>
        </is>
      </c>
      <c r="G218" s="104" t="str">
        <f>HYPERLINK("https://dvdaddin.dvdpm.net/en/commands/reference/btnDvdChat","Open the guide")</f>
        <v>Open the guide</v>
      </c>
    </row>
    <row r="219">
      <c r="A219" s="103">
        <v>215</v>
      </c>
      <c r="B219" s="102" t="inlineStr">
        <is>
          <t>DVD Addin</t>
        </is>
      </c>
      <c r="C219" s="102" t="inlineStr">
        <is>
          <t>About</t>
        </is>
      </c>
      <c r="D219" s="102" t="inlineStr">
        <is>
          <t>Lang: EN</t>
        </is>
      </c>
      <c r="E219" s="105" t="inlineStr">
        <is>
          <t>— (no sample data needed)</t>
        </is>
      </c>
      <c r="F219" s="102" t="inlineStr">
        <is>
          <t/>
        </is>
      </c>
      <c r="G219" s="104" t="str">
        <f>HYPERLINK("https://dvdaddin.dvdpm.net/en/commands/reference/btnSwitchLang","Open the guide")</f>
        <v>Open the guide</v>
      </c>
    </row>
    <row r="220">
      <c r="A220" s="103">
        <v>216</v>
      </c>
      <c r="B220" s="102" t="inlineStr">
        <is>
          <t>DVD Addin</t>
        </is>
      </c>
      <c r="C220" s="102" t="inlineStr">
        <is>
          <t>About</t>
        </is>
      </c>
      <c r="D220" s="102" t="inlineStr">
        <is>
          <t>Preferences</t>
        </is>
      </c>
      <c r="E220" s="105" t="inlineStr">
        <is>
          <t>— (no sample data needed)</t>
        </is>
      </c>
      <c r="F220" s="102" t="inlineStr">
        <is>
          <t/>
        </is>
      </c>
      <c r="G220" s="104" t="str">
        <f>HYPERLINK("https://dvdaddin.dvdpm.net/en/commands/reference/btnPreferences","Open the guide")</f>
        <v>Open the guide</v>
      </c>
    </row>
    <row r="221">
      <c r="A221" s="103">
        <v>217</v>
      </c>
      <c r="B221" s="102" t="inlineStr">
        <is>
          <t>DVD Addin</t>
        </is>
      </c>
      <c r="C221" s="102" t="inlineStr">
        <is>
          <t>About</t>
        </is>
      </c>
      <c r="D221" s="102" t="inlineStr">
        <is>
          <t>Quick start guide</t>
        </is>
      </c>
      <c r="E221" s="105" t="inlineStr">
        <is>
          <t>— (no sample data needed)</t>
        </is>
      </c>
      <c r="F221" s="102" t="inlineStr">
        <is>
          <t/>
        </is>
      </c>
      <c r="G221" s="104" t="str">
        <f>HYPERLINK("https://dvdaddin.dvdpm.net/en/commands/reference/btnOnboarding","Open the guide")</f>
        <v>Open the guide</v>
      </c>
    </row>
    <row r="222">
      <c r="A222" s="103">
        <v>218</v>
      </c>
      <c r="B222" s="102" t="inlineStr">
        <is>
          <t>DVD Addin</t>
        </is>
      </c>
      <c r="C222" s="102" t="inlineStr">
        <is>
          <t>About</t>
        </is>
      </c>
      <c r="D222" s="102" t="inlineStr">
        <is>
          <t>User guide</t>
        </is>
      </c>
      <c r="E222" s="105" t="inlineStr">
        <is>
          <t>— (no sample data needed)</t>
        </is>
      </c>
      <c r="F222" s="102" t="inlineStr">
        <is>
          <t/>
        </is>
      </c>
      <c r="G222" s="104" t="str">
        <f>HYPERLINK("https://dvdaddin.dvdpm.net/en/commands/reference/btnUserGuide","Open the guide")</f>
        <v>Open the guide</v>
      </c>
    </row>
    <row r="223">
      <c r="A223" s="103">
        <v>219</v>
      </c>
      <c r="B223" s="102" t="inlineStr">
        <is>
          <t>DVD Addin</t>
        </is>
      </c>
      <c r="C223" s="102" t="inlineStr">
        <is>
          <t>About</t>
        </is>
      </c>
      <c r="D223" s="102" t="inlineStr">
        <is>
          <t>Restore data</t>
        </is>
      </c>
      <c r="E223" s="105" t="inlineStr">
        <is>
          <t>— (no sample data needed)</t>
        </is>
      </c>
      <c r="F223" s="102" t="inlineStr">
        <is>
          <t/>
        </is>
      </c>
      <c r="G223" s="104" t="str">
        <f>HYPERLINK("https://dvdaddin.dvdpm.net/en/commands/reference/btnRestoreBackup","Open the guide")</f>
        <v>Open the guide</v>
      </c>
    </row>
    <row r="224">
      <c r="A224" s="103">
        <v>220</v>
      </c>
      <c r="B224" s="102" t="inlineStr">
        <is>
          <t>DVD Addin</t>
        </is>
      </c>
      <c r="C224" s="102" t="inlineStr">
        <is>
          <t>About</t>
        </is>
      </c>
      <c r="D224" s="102" t="inlineStr">
        <is>
          <t>Check Update</t>
        </is>
      </c>
      <c r="E224" s="105" t="inlineStr">
        <is>
          <t>— (no sample data needed)</t>
        </is>
      </c>
      <c r="F224" s="102" t="inlineStr">
        <is>
          <t/>
        </is>
      </c>
      <c r="G224" s="104" t="str">
        <f>HYPERLINK("https://dvdaddin.dvdpm.net/en/commands/reference/btnCheckUpdate","Open the guide")</f>
        <v>Open the guide</v>
      </c>
    </row>
    <row r="225">
      <c r="A225" s="103">
        <v>221</v>
      </c>
      <c r="B225" s="102" t="inlineStr">
        <is>
          <t>DVD Addin</t>
        </is>
      </c>
      <c r="C225" s="102" t="inlineStr">
        <is>
          <t>About</t>
        </is>
      </c>
      <c r="D225" s="102" t="inlineStr">
        <is>
          <t>Download Tool</t>
        </is>
      </c>
      <c r="E225" s="105" t="inlineStr">
        <is>
          <t>— (no sample data needed)</t>
        </is>
      </c>
      <c r="F225" s="102" t="inlineStr">
        <is>
          <t/>
        </is>
      </c>
      <c r="G225" s="104" t="str">
        <f>HYPERLINK("https://dvdaddin.dvdpm.net/en/commands/reference/btnDownloadTool","Open the guide")</f>
        <v>Open the guide</v>
      </c>
    </row>
    <row r="226">
      <c r="A226" s="103">
        <v>222</v>
      </c>
      <c r="B226" s="102" t="inlineStr">
        <is>
          <t>DVD Addin</t>
        </is>
      </c>
      <c r="C226" s="102" t="inlineStr">
        <is>
          <t>About</t>
        </is>
      </c>
      <c r="D226" s="102" t="inlineStr">
        <is>
          <t>Export support log</t>
        </is>
      </c>
      <c r="E226" s="105" t="inlineStr">
        <is>
          <t>— (no sample data needed)</t>
        </is>
      </c>
      <c r="F226" s="102" t="inlineStr">
        <is>
          <t/>
        </is>
      </c>
      <c r="G226" s="104" t="str">
        <f>HYPERLINK("https://dvdaddin.dvdpm.net/en/commands/reference/btnExportSupportLog","Open the guide")</f>
        <v>Open the guide</v>
      </c>
    </row>
    <row r="227">
      <c r="A227" s="103">
        <v>223</v>
      </c>
      <c r="B227" s="102" t="inlineStr">
        <is>
          <t>DVD Addin</t>
        </is>
      </c>
      <c r="C227" s="102" t="inlineStr">
        <is>
          <t>About</t>
        </is>
      </c>
      <c r="D227" s="102" t="inlineStr">
        <is>
          <t>About</t>
        </is>
      </c>
      <c r="E227" s="105" t="inlineStr">
        <is>
          <t>— (no sample data needed)</t>
        </is>
      </c>
      <c r="F227" s="102" t="inlineStr">
        <is>
          <t/>
        </is>
      </c>
      <c r="G227" s="104" t="str">
        <f>HYPERLINK("https://dvdaddin.dvdpm.net/en/commands/reference/btnAbout","Open the guide")</f>
        <v>Open the guide</v>
      </c>
    </row>
    <row r="228">
      <c r="A228" s="103">
        <v>224</v>
      </c>
      <c r="B228" s="102" t="inlineStr">
        <is>
          <t>DVD Addin</t>
        </is>
      </c>
      <c r="C228" s="102" t="inlineStr">
        <is>
          <t>About</t>
        </is>
      </c>
      <c r="D228" s="102" t="inlineStr">
        <is>
          <t>License</t>
        </is>
      </c>
      <c r="E228" s="105" t="inlineStr">
        <is>
          <t>— (no sample data needed)</t>
        </is>
      </c>
      <c r="F228" s="102" t="inlineStr">
        <is>
          <t/>
        </is>
      </c>
      <c r="G228" s="104" t="str">
        <f>HYPERLINK("https://dvdaddin.dvdpm.net/en/commands/reference/btnupdatekey","Open the guide")</f>
        <v>Open the guide</v>
      </c>
    </row>
  </sheetData>
  <mergeCells count="1">
    <mergeCell ref="A2:G2"/>
  </mergeCells>
  <hyperlinks>
    <hyperlink ref="E5" location="'Gantt Chart'!A1" display="Gantt Chart"/>
    <hyperlink ref="E6" location="'Auto Calc'!A1" display="Auto Calc"/>
    <hyperlink ref="E7" location="'Auto Draw'!A1" display="Auto Draw"/>
    <hyperlink ref="E8" location="'Update schedule (data date)'!A1" display="Update schedule (data date)"/>
    <hyperlink ref="E9" location="'Update Status'!A1" display="Update Status"/>
    <hyperlink ref="E12" location="'Constraints'!A1" display="Constraints"/>
    <hyperlink ref="E13" location="'Header Language'!A1" display="Header Language"/>
    <hyperlink ref="E14" location="'Export XML (P6-MSP)'!A1" display="Export XML (P6-MSP)"/>
    <hyperlink ref="E17" location="'AI Gantt Builder'!A1" display="AI Gantt Builder"/>
    <hyperlink ref="E18" location="'Schedule Recovery'!A1" display="Schedule Recovery"/>
    <hyperlink ref="E19" location="'Health Check'!A1" display="Health Check"/>
    <hyperlink ref="E20" location="'EVM Report'!A1" display="EVM Report"/>
    <hyperlink ref="E21" location="'Variance Dashboard'!A1" display="Variance Dashboard"/>
    <hyperlink ref="E22" location="'2-Week Lookahead'!A1" display="2-Week Lookahead"/>
    <hyperlink ref="E23" location="'3-Week Lookahead'!A1" display="3-Week Lookahead"/>
    <hyperlink ref="E24" location="'Schedule (custom range)'!A1" display="Schedule (custom range)"/>
    <hyperlink ref="E26" location="'Snapshot'!A1" display="Snapshot"/>
    <hyperlink ref="E28" location="'Manpower'!A1" display="Manpower"/>
    <hyperlink ref="E29" location="'Level resources'!A1" display="Level resources"/>
    <hyperlink ref="E30" location="'Cash-flow'!A1" display="Cash-flow"/>
    <hyperlink ref="E31" location="'Rebar Cut'!A1" display="Rebar Cut"/>
    <hyperlink ref="E33" location="'Bar schedule'!A1" display="Bar schedule"/>
    <hyperlink ref="E34" location="'Bar Cut 1D'!A1" display="Bar Cut 1D, Bar Cut 1D · CatThanh_Thanh"/>
    <hyperlink ref="E35" location="'Panel Cut 2D'!A1" display="Panel Cut 2D, Panel Cut 2D · CatTam_Tam"/>
    <hyperlink ref="E36" location="'Cutting Tpl'!A1" display="Cutting Tpl"/>
    <hyperlink ref="E37" location="'Bar Tpl'!A1" display="Bar Tpl"/>
    <hyperlink ref="E38" location="'Panel Tpl'!A1" display="Panel Tpl"/>
    <hyperlink ref="E39" location="'New Diary'!A1" display="New Diary"/>
    <hyperlink ref="E40" location="'Export Category'!A1" display="Export Category"/>
    <hyperlink ref="E41" location="'Pick Rest Days'!A1" display="Pick Rest Days"/>
    <hyperlink ref="E42" location="'Work Record Tpl'!A1" display="Work Record Tpl"/>
    <hyperlink ref="E43" location="'Material Record Tpl'!A1" display="Material Record Tpl"/>
    <hyperlink ref="E44" location="'Diary Template'!A1" display="Diary Template, DATA"/>
    <hyperlink ref="E45" location="'Test Plan'!A1" display="Test Plan"/>
    <hyperlink ref="E46" location="'Acceptance Plan'!A1" display="Acceptance Plan"/>
    <hyperlink ref="E47" location="'Acceptance Record'!A1" display="Acceptance Record"/>
    <hyperlink ref="E51" location="'AI Construction Estimate'!A1" display="AI Construction Estimate"/>
    <hyperlink ref="E52" location="'Interim Payment'!A1" display="Interim Payment"/>
    <hyperlink ref="E53" location="'Compare BoQ'!A1" display="Compare BoQ"/>
    <hyperlink ref="E54" location="'Price adjustment'!A1" display="Price adjustment"/>
    <hyperlink ref="E55" location="'Estimate bridge'!A1" display="Estimate bridge"/>
    <hyperlink ref="E58" location="'Data query'!A1" display="Data query"/>
    <hyperlink ref="E59" location="'Variation Register'!A1" display="Variation Register"/>
    <hyperlink ref="E62" location="'Send Format'!A1" display="Send Format"/>
    <hyperlink ref="E65" location="'Numbering'!A1" display="Numbering"/>
    <hyperlink ref="E66" location="'Roman'!A1" display="Roman"/>
    <hyperlink ref="E67" location="'Upper letters'!A1" display="Upper letters"/>
    <hyperlink ref="E68" location="'Lower letters'!A1" display="Lower letters"/>
    <hyperlink ref="E69" location="'Assign Level'!A1" display="Assign Level"/>
    <hyperlink ref="E70" location="'Filled circle'!A1" display="Filled circle"/>
    <hyperlink ref="E71" location="'Filled star'!A1" display="Filled star"/>
    <hyperlink ref="E72" location="'Minus'!A1" display="Minus"/>
    <hyperlink ref="E73" location="'Filled diamond'!A1" display="Filled diamond"/>
    <hyperlink ref="E74" location="'Plus'!A1" display="Plus"/>
    <hyperlink ref="E75" location="'Asterisk'!A1" display="Asterisk"/>
    <hyperlink ref="E76" location="'Checkbox'!A1" display="Checkbox"/>
    <hyperlink ref="E77" location="'Checked'!A1" display="Checked"/>
    <hyperlink ref="E78" location="'Rejected'!A1" display="Rejected"/>
    <hyperlink ref="E79" location="'Remove bullets'!A1" display="Remove bullets"/>
    <hyperlink ref="E80" location="'Number list'!A1" display="Number list"/>
    <hyperlink ref="E81" location="'Roman list'!A1" display="Roman list"/>
    <hyperlink ref="E82" location="'Upper letters list'!A1" display="Upper letters list"/>
    <hyperlink ref="E83" location="'Lower letters list'!A1" display="Lower letters list"/>
    <hyperlink ref="E84" location="'Remove list numbering'!A1" display="Remove list numbering"/>
    <hyperlink ref="E85" location="'Multilevel 1.1.1'!A1" display="Multilevel 1.1.1"/>
    <hyperlink ref="E86" location="'Remove multilevel numbering'!A1" display="Remove multilevel numbering"/>
    <hyperlink ref="E87" location="'Sentence case'!A1" display="Sentence case"/>
    <hyperlink ref="E88" location="'UPPERCASE'!A1" display="UPPERCASE"/>
    <hyperlink ref="E89" location="'lowercase'!A1" display="lowercase"/>
    <hyperlink ref="E90" location="'Proper Case'!A1" display="Proper Case"/>
    <hyperlink ref="E91" location="'SMART case (AI)'!A1" display="SMART case (AI)"/>
    <hyperlink ref="E92" location="'Italic'!A1" display="Italic"/>
    <hyperlink ref="E93" location="'Text Reverse'!A1" display="Text Reverse"/>
    <hyperlink ref="E94" location="'Font Change'!A1" display="Font Change"/>
    <hyperlink ref="E95" location="'Remove extra spaces'!A1" display="Remove extra spaces"/>
    <hyperlink ref="E96" location="'Add text'!A1" display="Add text"/>
    <hyperlink ref="E97" location="'Remove accents'!A1" display="Remove accents"/>
    <hyperlink ref="E98" location="'Add accents (AI)'!A1" display="Add accents (AI)"/>
    <hyperlink ref="E99" location="'Auto format'!A1" display="Auto format"/>
    <hyperlink ref="E100" location="'Superscript'!A1" display="Superscript"/>
    <hyperlink ref="E101" location="'Subscript'!A1" display="Subscript"/>
    <hyperlink ref="E102" location="'Bulk find - replace…'!A1" display="Bulk find - replace…"/>
    <hyperlink ref="E103" location="'Smart Data Cleaning…'!A1" display="Smart Data Cleaning…"/>
    <hyperlink ref="E104" location="'Encoding'!A1" display="Encoding"/>
    <hyperlink ref="E105" location="'To Unicode'!A1" display="To Unicode"/>
    <hyperlink ref="E106" location="'To VNI'!A1" display="To VNI"/>
    <hyperlink ref="E107" location="'To TCVN3'!A1" display="To TCVN3"/>
    <hyperlink ref="E108" location="'Translate'!A1" display="Translate"/>
    <hyperlink ref="E109" location="'Quick Input'!A1" display="Quick Input"/>
    <hyperlink ref="E110" location="'Auto-suggest on cell select'!A1" display="Auto-suggest on cell select"/>
    <hyperlink ref="E111" location="'Configure source ranges…'!A1" display="Configure source ranges…"/>
    <hyperlink ref="E112" location="'Insert Rows'!A1" display="Insert Rows"/>
    <hyperlink ref="E113" location="'Insert Columns'!A1" display="Insert Columns"/>
    <hyperlink ref="E114" location="'Insert and Copy'!A1" display="Insert and Copy"/>
    <hyperlink ref="E115" location="'Delete blanks'!A1" display="Delete blanks"/>
    <hyperlink ref="E116" location="'Delete hidden rows'!A1" display="Delete hidden rows"/>
    <hyperlink ref="E117" location="'Delete unused formats'!A1" display="Delete unused formats"/>
    <hyperlink ref="E120" location="'Merge keep data'!A1" display="Merge keep data"/>
    <hyperlink ref="E121" location="'Merge similar'!A1" display="Merge similar"/>
    <hyperlink ref="E122" location="'Merge rows by key'!A1" display="Merge rows by key"/>
    <hyperlink ref="E123" location="'Auto group'!A1" display="Auto group"/>
    <hyperlink ref="E124" location="'AutoFit merged'!A1" display="AutoFit merged"/>
    <hyperlink ref="E125" location="'Select visible'!A1" display="Select visible"/>
    <hyperlink ref="E126" location="'Copy-Paste visible'!A1" display="Copy-Paste visible"/>
    <hyperlink ref="E127" location="'Join Text'!A1" display="Join Text"/>
    <hyperlink ref="E128" location="'Join Merged'!A1" display="Join Merged"/>
    <hyperlink ref="E129" location="'Formula View'!A1" display="Formula View, KL Tang 4, KL Tang 5"/>
    <hyperlink ref="E130" location="'Lookup Trace'!A1" display="Lookup Trace, RATES"/>
    <hyperlink ref="E131" location="'Dependents'!A1" display="Dependents"/>
    <hyperlink ref="E132" location="'Autosum'!A1" display="Autosum"/>
    <hyperlink ref="E133" location="'Fill Results'!A1" display="Fill Results"/>
    <hyperlink ref="E134" location="'Direct Ref'!A1" display="Direct Ref, DON GIA"/>
    <hyperlink ref="E135" location="'Rounding Func'!A1" display="Rounding Func"/>
    <hyperlink ref="E136" location="'Lock Ref'!A1" display="Lock Ref, BANGTHEP"/>
    <hyperlink ref="E137" location="'Error Check'!A1" display="Error Check"/>
    <hyperlink ref="E138" location="'Color Shapes'!A1" display="Color Shapes"/>
    <hyperlink ref="E139" location="'Color Rects'!A1" display="Color Rects"/>
    <hyperlink ref="E140" location="'List Shapes'!A1" display="List Shapes"/>
    <hyperlink ref="E141" location="'Rename Shapes'!A1" display="Rename Shapes"/>
    <hyperlink ref="E143" location="'Get Position'!A1" display="Get Position"/>
    <hyperlink ref="E144" location="'Linked Labels'!A1" display="Linked Labels"/>
    <hyperlink ref="E149" location="'Plan progress'!A1" display="Plan progress"/>
    <hyperlink ref="E150" location="'Get Color Code'!A1" display="Get Color Code"/>
    <hyperlink ref="E151" location="'Auto Click'!A1" display="Auto Click"/>
    <hyperlink ref="E152" location="'Pictures'!A1" display="Pictures"/>
    <hyperlink ref="E153" location="'Insert by Name'!A1" display="Insert by Name"/>
    <hyperlink ref="E154" location="'Pic Comment'!A1" display="Pic Comment"/>
    <hyperlink ref="E155" location="'Comment by Name'!A1" display="Comment by Name"/>
    <hyperlink ref="E156" location="'Move-Resize'!A1" display="Move-Resize"/>
    <hyperlink ref="E157" location="'Capture and Annotate'!A1" display="Capture and Annotate"/>
    <hyperlink ref="E159" location="'Polygon Cloud'!A1" display="Polygon Cloud"/>
    <hyperlink ref="E160" location="'Cloud Around Selection'!A1" display="Cloud Around Selection"/>
    <hyperlink ref="E167" location="'File List'!A1" display="File List"/>
    <hyperlink ref="E169" location="'Split table'!A1" display="Split table"/>
    <hyperlink ref="E170" location="'Compare sheets'!A1" display="Compare sheets"/>
    <hyperlink ref="E171" location="'Merge tables'!A1" display="Merge tables, Rates (2)"/>
    <hyperlink ref="E172" location="'Rename Files'!A1" display="Rename Files"/>
    <hyperlink ref="E174" location="'Create Hyperlink'!A1" display="Create Hyperlink"/>
    <hyperlink ref="E176" location="'Create Folder'!A1" display="Create Folder"/>
    <hyperlink ref="E180" location="'Transcribe Audio'!A1" display="Transcribe Audio"/>
    <hyperlink ref="E187" location="'OCR file'!A1" display="OCR file"/>
    <hyperlink ref="E188" location="'Extract Table'!A1" display="Extract Table"/>
    <hyperlink ref="E189" location="'OCR Screen Clip'!A1" display="OCR Screen Clip"/>
    <hyperlink ref="E190" location="'Batch print'!A1" display="Batch print"/>
    <hyperlink ref="E191" location="'Set page margins'!A1" display="Set page margins"/>
    <hyperlink ref="E195" location="'Sheets → PDF'!A1" display="Sheets → PDF"/>
    <hyperlink ref="E196" location="'Send Email'!A1" display="Send Email"/>
    <hyperlink ref="E198" location="'Email Template'!A1" display="Email Template"/>
    <hyperlink ref="E199" location="'Merge to Word'!A1" display="Merge to Word"/>
    <hyperlink ref="E200" location="'Create Title'!A1" display="Create Title"/>
    <hyperlink ref="E201" location="'Reading Layout'!A1" display="Reading Layout"/>
    <hyperlink ref="E202" location="'Sheet List'!A1" display="Sheet List"/>
    <hyperlink ref="E203" location="'Rename Sheets'!A1" display="Rename Sheets"/>
    <hyperlink ref="E204" location="'Sheet Numbering'!A1" display="Sheet Numbering"/>
    <hyperlink ref="E205" location="'UnDiacritics'!A1" display="UnDiacritics, Khối lượng móng, Đài móng - Cọc, Nghiệm thu thép, Phụ lục 01"/>
    <hyperlink ref="E206" location="'Hide Unselected'!A1" display="Hide Unselected, KL-Mong, KL-Than, DonGia-NoiBo, Chietinh, Phuluc, Nhap1"/>
    <hyperlink ref="E207" location="'Unhide All'!A1" display="Unhide All, Chietinh-VT, Giavatlieu, DonGia-CT, KL, Phuluc (2)"/>
    <hyperlink ref="E210" location="'View Image'!A1" display="View Image"/>
    <hyperlink ref="E211" location="'Hide Empty Rows'!A1" display="Hide Empty Rows"/>
    <hyperlink ref="E214" location="'Explain formula (Coach)'!A1" display="Explain formula (Coach), Pour log"/>
    <hyperlink ref="E215" location="'Fix formula error'!A1" display="Fix formula error, DonGia"/>
    <hyperlink ref="E216" location="'Grammar'!A1" display="Grammar"/>
    <hyperlink ref="E217" location="'Solver'!A1" display="Solver"/>
    <hyperlink ref="E218" location="'DVD Chat'!A1" display="DVD Chat"/>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9"/>
  <sheetViews>
    <sheetView workbookViewId="0">
      <selection activeCell="B9" sqref="B9"/>
    </sheetView>
  </sheetViews>
  <sheetFormatPr defaultRowHeight="15"/>
  <cols>
    <col min="1" max="1" width="9.00" customWidth="1"/>
    <col min="2" max="2" width="24.00" customWidth="1"/>
    <col min="3" max="3" width="8.00" customWidth="1"/>
    <col min="4" max="4" width="10.00" customWidth="1"/>
    <col min="5" max="5" width="10.00" customWidth="1"/>
    <col min="6" max="6" width="8.40" customWidth="1"/>
    <col min="7" max="7" width="8.40" customWidth="1"/>
    <col min="9" max="9" width="12.00" customWidth="1"/>
  </cols>
  <sheetData>
    <row r="1">
      <c r="A1" s="1" t="inlineStr">
        <is>
          <t>FOUNDATION WORKS SCHEDULE – 9-STOREY OFFICE BUILDING</t>
        </is>
      </c>
      <c r="I1" s="106" t="inlineStr">
        <is>
          <t>← Index</t>
        </is>
      </c>
    </row>
    <row r="2">
      <c r="A2" s="2" t="inlineStr">
        <is>
          <t>Activity ID</t>
        </is>
      </c>
      <c r="B2" s="3" t="inlineStr">
        <is>
          <t>Activity Name</t>
        </is>
      </c>
      <c r="C2" s="2" t="inlineStr">
        <is>
          <t>Duration</t>
        </is>
      </c>
      <c r="D2" s="3" t="inlineStr">
        <is>
          <t>Start</t>
        </is>
      </c>
      <c r="E2" s="3" t="inlineStr">
        <is>
          <t>Finish</t>
        </is>
      </c>
    </row>
    <row r="3">
      <c r="A3" s="4"/>
      <c r="B3" s="4"/>
      <c r="C3" s="4"/>
      <c r="D3" s="4"/>
      <c r="E3" s="4"/>
    </row>
    <row r="4">
      <c r="A4" s="4" t="inlineStr">
        <is>
          <t>A1010</t>
        </is>
      </c>
      <c r="B4" s="4" t="inlineStr">
        <is>
          <t>Excavate foundation pits</t>
        </is>
      </c>
      <c r="C4" s="4">
        <v>6</v>
      </c>
      <c r="D4" s="5">
        <v>46300</v>
      </c>
      <c r="E4" s="5">
        <v>46305</v>
      </c>
    </row>
    <row r="5">
      <c r="A5" s="4" t="inlineStr">
        <is>
          <t>A1020</t>
        </is>
      </c>
      <c r="B5" s="4" t="inlineStr">
        <is>
          <t>Blinding concrete</t>
        </is>
      </c>
      <c r="C5" s="4">
        <v>2</v>
      </c>
      <c r="D5" s="5">
        <v>46307</v>
      </c>
      <c r="E5" s="5">
        <v>46308</v>
      </c>
    </row>
    <row r="6">
      <c r="A6" s="4" t="inlineStr">
        <is>
          <t>A1030</t>
        </is>
      </c>
      <c r="B6" s="4" t="inlineStr">
        <is>
          <t>Pile cap rebar and formwork</t>
        </is>
      </c>
      <c r="C6" s="4">
        <v>8</v>
      </c>
      <c r="D6" s="5">
        <v>46309</v>
      </c>
      <c r="E6" s="5">
        <v>46317</v>
      </c>
    </row>
    <row r="7">
      <c r="A7" s="4" t="inlineStr">
        <is>
          <t>A1040</t>
        </is>
      </c>
      <c r="B7" s="4" t="inlineStr">
        <is>
          <t>Pile caps, ground beams</t>
        </is>
      </c>
      <c r="C7" s="4">
        <v>2</v>
      </c>
      <c r="D7" s="5">
        <v>46318</v>
      </c>
      <c r="E7" s="5">
        <v>46319</v>
      </c>
    </row>
    <row r="8">
      <c r="A8" s="4" t="inlineStr">
        <is>
          <t>A1050</t>
        </is>
      </c>
      <c r="B8" s="4" t="inlineStr">
        <is>
          <t>Backfill, raise ground floor</t>
        </is>
      </c>
      <c r="C8" s="4">
        <v>6</v>
      </c>
      <c r="D8" s="5">
        <v>46321</v>
      </c>
      <c r="E8" s="5">
        <v>46326</v>
      </c>
    </row>
    <row r="9">
      <c r="A9" s="4" t="inlineStr">
        <is>
          <t>A1060</t>
        </is>
      </c>
      <c r="B9" s="4" t="inlineStr">
        <is>
          <t>Foundation acceptance</t>
        </is>
      </c>
      <c r="C9" s="4">
        <v>0</v>
      </c>
      <c r="D9" s="4"/>
      <c r="E9" s="5">
        <v>46328</v>
      </c>
    </row>
  </sheetData>
  <mergeCells count="6">
    <mergeCell ref="A1:E1"/>
    <mergeCell ref="A2:A3"/>
    <mergeCell ref="B2:B3"/>
    <mergeCell ref="C2:C3"/>
    <mergeCell ref="D2:D3"/>
    <mergeCell ref="E2:E3"/>
  </mergeCells>
  <hyperlinks>
    <hyperlink ref="I1" location="'Index'!A5" display="← Index"/>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7"/>
  <sheetViews>
    <sheetView workbookViewId="0">
      <selection activeCell="C2" sqref="C2"/>
    </sheetView>
  </sheetViews>
  <sheetFormatPr defaultRowHeight="15"/>
  <cols>
    <col min="1" max="1" width="9.00" customWidth="1"/>
    <col min="2" max="2" width="26.00" customWidth="1"/>
    <col min="3" max="3" width="8.00" customWidth="1"/>
    <col min="4" max="4" width="11.00" customWidth="1"/>
    <col min="5" max="5" width="11.00" customWidth="1"/>
    <col min="6" max="6" width="11.00" customWidth="1"/>
    <col min="8" max="8" width="12.00" customWidth="1"/>
  </cols>
  <sheetData>
    <row r="1" ht="28.50" customHeight="1">
      <c r="A1" s="2" t="inlineStr">
        <is>
          <t>Activity ID</t>
        </is>
      </c>
      <c r="B1" s="2" t="inlineStr">
        <is>
          <t>Activity Name</t>
        </is>
      </c>
      <c r="C1" s="2" t="inlineStr">
        <is>
          <t>Duration</t>
        </is>
      </c>
      <c r="D1" s="2" t="inlineStr">
        <is>
          <t>Start</t>
        </is>
      </c>
      <c r="E1" s="2" t="inlineStr">
        <is>
          <t>Finish</t>
        </is>
      </c>
      <c r="F1" s="2" t="inlineStr">
        <is>
          <t>Predecessors</t>
        </is>
      </c>
      <c r="H1" s="106" t="inlineStr">
        <is>
          <t>← Index</t>
        </is>
      </c>
    </row>
    <row r="2">
      <c r="A2" s="4" t="inlineStr">
        <is>
          <t>A1010</t>
        </is>
      </c>
      <c r="B2" s="4" t="inlineStr">
        <is>
          <t>Excavate foundation pits</t>
        </is>
      </c>
      <c r="C2" s="4">
        <v>4</v>
      </c>
      <c r="D2" s="5">
        <v>46300</v>
      </c>
      <c r="E2" s="5">
        <v>46305</v>
      </c>
      <c r="F2" s="4"/>
    </row>
    <row r="3">
      <c r="A3" s="4" t="inlineStr">
        <is>
          <t>A1020</t>
        </is>
      </c>
      <c r="B3" s="4" t="inlineStr">
        <is>
          <t>Blinding concrete</t>
        </is>
      </c>
      <c r="C3" s="4">
        <v>2</v>
      </c>
      <c r="D3" s="5">
        <v>46307</v>
      </c>
      <c r="E3" s="5">
        <v>46308</v>
      </c>
      <c r="F3" s="6" t="inlineStr">
        <is>
          <t>A1010FS</t>
        </is>
      </c>
    </row>
    <row r="4">
      <c r="A4" s="4" t="inlineStr">
        <is>
          <t>A1030</t>
        </is>
      </c>
      <c r="B4" s="4" t="inlineStr">
        <is>
          <t>Pile cap rebar and formwork</t>
        </is>
      </c>
      <c r="C4" s="4">
        <v>8</v>
      </c>
      <c r="D4" s="5">
        <v>46309</v>
      </c>
      <c r="E4" s="5">
        <v>46317</v>
      </c>
      <c r="F4" s="6" t="inlineStr">
        <is>
          <t>A1020FS</t>
        </is>
      </c>
    </row>
    <row r="5">
      <c r="A5" s="4" t="inlineStr">
        <is>
          <t>A1040</t>
        </is>
      </c>
      <c r="B5" s="4" t="inlineStr">
        <is>
          <t>Pile caps, ground beams</t>
        </is>
      </c>
      <c r="C5" s="4">
        <v>2</v>
      </c>
      <c r="D5" s="5">
        <v>46318</v>
      </c>
      <c r="E5" s="5">
        <v>46319</v>
      </c>
      <c r="F5" s="6" t="inlineStr">
        <is>
          <t>A1030FS</t>
        </is>
      </c>
    </row>
    <row r="6">
      <c r="A6" s="4" t="inlineStr">
        <is>
          <t>A1050</t>
        </is>
      </c>
      <c r="B6" s="4" t="inlineStr">
        <is>
          <t>Backfill, raise ground floor</t>
        </is>
      </c>
      <c r="C6" s="4">
        <v>6</v>
      </c>
      <c r="D6" s="5">
        <v>46321</v>
      </c>
      <c r="E6" s="5">
        <v>46326</v>
      </c>
      <c r="F6" s="6" t="inlineStr">
        <is>
          <t>A1040FS</t>
        </is>
      </c>
    </row>
    <row r="7">
      <c r="A7" s="4" t="inlineStr">
        <is>
          <t>A1060</t>
        </is>
      </c>
      <c r="B7" s="4" t="inlineStr">
        <is>
          <t>Foundation acceptance</t>
        </is>
      </c>
      <c r="C7" s="4">
        <v>0</v>
      </c>
      <c r="D7" s="4"/>
      <c r="E7" s="5">
        <v>46328</v>
      </c>
      <c r="F7" s="6" t="inlineStr">
        <is>
          <t>A1050FS</t>
        </is>
      </c>
    </row>
  </sheetData>
  <hyperlinks>
    <hyperlink ref="H1" location="'Index'!A6" display="← Index"/>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9"/>
  <sheetViews>
    <sheetView workbookViewId="0">
      <selection activeCell="C4" sqref="C4"/>
    </sheetView>
  </sheetViews>
  <sheetFormatPr defaultRowHeight="15"/>
  <cols>
    <col min="1" max="1" width="9.00" customWidth="1"/>
    <col min="2" max="2" width="24.00" customWidth="1"/>
    <col min="3" max="3" width="8.00" customWidth="1"/>
    <col min="4" max="4" width="10.00" customWidth="1"/>
    <col min="5" max="5" width="10.00" customWidth="1"/>
    <col min="6" max="6" width="7.00" customWidth="1"/>
    <col min="7" max="7" width="7.00" customWidth="1"/>
    <col min="8" max="8" width="7.00" customWidth="1"/>
    <col min="9" max="9" width="7.00" customWidth="1"/>
    <col min="10" max="10" width="7.00" customWidth="1"/>
    <col min="11" max="11" width="7.00" customWidth="1"/>
    <col min="12" max="12" width="7.00" customWidth="1"/>
    <col min="14" max="14" width="12.00" customWidth="1"/>
  </cols>
  <sheetData>
    <row r="1">
      <c r="A1" s="1" t="inlineStr">
        <is>
          <t>FOUNDATION WORKS SCHEDULE – 9-STOREY OFFICE BUILDING</t>
        </is>
      </c>
      <c r="N1" s="106" t="inlineStr">
        <is>
          <t>← Index</t>
        </is>
      </c>
    </row>
    <row r="2">
      <c r="A2" s="2" t="inlineStr">
        <is>
          <t>Activity ID</t>
        </is>
      </c>
      <c r="B2" s="3" t="inlineStr">
        <is>
          <t>Activity Name</t>
        </is>
      </c>
      <c r="C2" s="2" t="inlineStr">
        <is>
          <t>Duration</t>
        </is>
      </c>
      <c r="D2" s="3" t="inlineStr">
        <is>
          <t>Start</t>
        </is>
      </c>
      <c r="E2" s="3" t="inlineStr">
        <is>
          <t>Finish</t>
        </is>
      </c>
      <c r="F2" s="3" t="inlineStr">
        <is>
          <t>October 2026</t>
        </is>
      </c>
      <c r="G2" s="4"/>
      <c r="H2" s="4"/>
      <c r="I2" s="4"/>
      <c r="J2" s="4"/>
      <c r="K2" s="3" t="inlineStr">
        <is>
          <t>November 2026</t>
        </is>
      </c>
      <c r="L2" s="4"/>
    </row>
    <row r="3">
      <c r="A3" s="4"/>
      <c r="B3" s="4"/>
      <c r="C3" s="4"/>
      <c r="D3" s="4"/>
      <c r="E3" s="4"/>
      <c r="F3" s="7" t="inlineStr">
        <is>
          <t>W40</t>
        </is>
      </c>
      <c r="G3" s="7" t="inlineStr">
        <is>
          <t>W41</t>
        </is>
      </c>
      <c r="H3" s="7" t="inlineStr">
        <is>
          <t>W42</t>
        </is>
      </c>
      <c r="I3" s="7" t="inlineStr">
        <is>
          <t>W43</t>
        </is>
      </c>
      <c r="J3" s="7" t="inlineStr">
        <is>
          <t>W44</t>
        </is>
      </c>
      <c r="K3" s="7" t="inlineStr">
        <is>
          <t>W45</t>
        </is>
      </c>
      <c r="L3" s="7" t="inlineStr">
        <is>
          <t>W46</t>
        </is>
      </c>
    </row>
    <row r="4">
      <c r="A4" s="4" t="inlineStr">
        <is>
          <t>A1010</t>
        </is>
      </c>
      <c r="B4" s="4" t="inlineStr">
        <is>
          <t>Excavate foundation pits</t>
        </is>
      </c>
      <c r="C4" s="4">
        <v>8</v>
      </c>
      <c r="D4" s="5">
        <v>46300</v>
      </c>
      <c r="E4" s="5">
        <v>46305</v>
      </c>
      <c r="G4" s="8" t="inlineStr">
        <is>
          <t>▀▀▀▀</t>
        </is>
      </c>
    </row>
    <row r="5">
      <c r="A5" s="4" t="inlineStr">
        <is>
          <t>A1020</t>
        </is>
      </c>
      <c r="B5" s="4" t="inlineStr">
        <is>
          <t>Blinding concrete</t>
        </is>
      </c>
      <c r="C5" s="4">
        <v>2</v>
      </c>
      <c r="D5" s="5">
        <v>46307</v>
      </c>
      <c r="E5" s="5">
        <v>46308</v>
      </c>
      <c r="H5" s="8" t="inlineStr">
        <is>
          <t>▀</t>
        </is>
      </c>
    </row>
    <row r="6">
      <c r="A6" s="4" t="inlineStr">
        <is>
          <t>A1030</t>
        </is>
      </c>
      <c r="B6" s="4" t="inlineStr">
        <is>
          <t>Pile cap rebar and formwork</t>
        </is>
      </c>
      <c r="C6" s="4">
        <v>8</v>
      </c>
      <c r="D6" s="5">
        <v>46309</v>
      </c>
      <c r="E6" s="5">
        <v>46317</v>
      </c>
      <c r="H6" s="8" t="inlineStr">
        <is>
          <t xml:space="preserve">   ▀▀▀▀▀▀</t>
        </is>
      </c>
    </row>
    <row r="7">
      <c r="A7" s="4" t="inlineStr">
        <is>
          <t>A1040</t>
        </is>
      </c>
      <c r="B7" s="4" t="inlineStr">
        <is>
          <t>Pile caps, ground beams</t>
        </is>
      </c>
      <c r="C7" s="4">
        <v>2</v>
      </c>
      <c r="D7" s="5">
        <v>46318</v>
      </c>
      <c r="E7" s="5">
        <v>46319</v>
      </c>
      <c r="I7" s="8" t="inlineStr">
        <is>
          <t xml:space="preserve">        ▀</t>
        </is>
      </c>
    </row>
    <row r="8">
      <c r="A8" s="4" t="inlineStr">
        <is>
          <t>A1050</t>
        </is>
      </c>
      <c r="B8" s="4" t="inlineStr">
        <is>
          <t>Backfill, raise ground floor</t>
        </is>
      </c>
      <c r="C8" s="4">
        <v>6</v>
      </c>
      <c r="D8" s="5">
        <v>46321</v>
      </c>
      <c r="E8" s="5">
        <v>46326</v>
      </c>
      <c r="J8" s="8" t="inlineStr">
        <is>
          <t>▀▀▀▀</t>
        </is>
      </c>
    </row>
    <row r="9">
      <c r="A9" s="4" t="inlineStr">
        <is>
          <t>A1060</t>
        </is>
      </c>
      <c r="B9" s="4" t="inlineStr">
        <is>
          <t>Foundation acceptance</t>
        </is>
      </c>
      <c r="C9" s="4">
        <v>0</v>
      </c>
      <c r="D9" s="4"/>
      <c r="E9" s="5">
        <v>46328</v>
      </c>
      <c r="K9" s="9" t="inlineStr">
        <is>
          <t>◆</t>
        </is>
      </c>
    </row>
  </sheetData>
  <mergeCells count="8">
    <mergeCell ref="A1:E1"/>
    <mergeCell ref="A2:A3"/>
    <mergeCell ref="B2:B3"/>
    <mergeCell ref="C2:C3"/>
    <mergeCell ref="D2:D3"/>
    <mergeCell ref="E2:E3"/>
    <mergeCell ref="F2:J2"/>
    <mergeCell ref="K2:L2"/>
  </mergeCells>
  <hyperlinks>
    <hyperlink ref="N1" location="'Index'!A7" display="← Index"/>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J8"/>
  <sheetViews>
    <sheetView workbookViewId="0">
      <selection activeCell="F2" sqref="F2:H8"/>
    </sheetView>
  </sheetViews>
  <sheetFormatPr defaultRowHeight="15"/>
  <cols>
    <col min="1" max="1" width="8.00" customWidth="1"/>
    <col min="2" max="2" width="24.00" customWidth="1"/>
    <col min="3" max="3" width="8.50" customWidth="1"/>
    <col min="4" max="4" width="10.00" customWidth="1"/>
    <col min="5" max="5" width="10.00" customWidth="1"/>
    <col min="6" max="6" width="10.00" customWidth="1"/>
    <col min="7" max="7" width="10.00" customWidth="1"/>
    <col min="8" max="8" width="10.00" customWidth="1"/>
    <col min="10" max="10" width="12.00" customWidth="1"/>
  </cols>
  <sheetData>
    <row r="1" ht="28.50" customHeight="1">
      <c r="A1" s="2" t="inlineStr">
        <is>
          <t>Activity ID</t>
        </is>
      </c>
      <c r="B1" s="2" t="inlineStr">
        <is>
          <t>Activity Name</t>
        </is>
      </c>
      <c r="C1" s="2" t="inlineStr">
        <is>
          <t>Duration</t>
        </is>
      </c>
      <c r="D1" s="2" t="inlineStr">
        <is>
          <t>Start</t>
        </is>
      </c>
      <c r="E1" s="2" t="inlineStr">
        <is>
          <t>Finish</t>
        </is>
      </c>
      <c r="F1" s="2" t="inlineStr">
        <is>
          <t>Actual Start</t>
        </is>
      </c>
      <c r="G1" s="2" t="inlineStr">
        <is>
          <t>Actual Finish</t>
        </is>
      </c>
      <c r="H1" s="2" t="inlineStr">
        <is>
          <t>Complete (%)</t>
        </is>
      </c>
      <c r="J1" s="106" t="inlineStr">
        <is>
          <t>← Index</t>
        </is>
      </c>
    </row>
    <row r="2">
      <c r="A2" s="4" t="inlineStr">
        <is>
          <t>A1010</t>
        </is>
      </c>
      <c r="B2" s="4" t="inlineStr">
        <is>
          <t>Excavate foundation pits</t>
        </is>
      </c>
      <c r="C2" s="4">
        <v>6</v>
      </c>
      <c r="D2" s="5">
        <v>46300</v>
      </c>
      <c r="E2" s="5">
        <v>46305</v>
      </c>
      <c r="F2" s="5">
        <v>46300</v>
      </c>
      <c r="G2" s="5">
        <v>46305</v>
      </c>
      <c r="H2" s="10">
        <v>1</v>
      </c>
    </row>
    <row r="3">
      <c r="A3" s="4" t="inlineStr">
        <is>
          <t>A1020</t>
        </is>
      </c>
      <c r="B3" s="4" t="inlineStr">
        <is>
          <t>Blinding concrete</t>
        </is>
      </c>
      <c r="C3" s="4">
        <v>2</v>
      </c>
      <c r="D3" s="5">
        <v>46307</v>
      </c>
      <c r="E3" s="5">
        <v>46309</v>
      </c>
      <c r="F3" s="5">
        <v>46307</v>
      </c>
      <c r="G3" s="5">
        <v>46309</v>
      </c>
      <c r="H3" s="10">
        <v>1</v>
      </c>
    </row>
    <row r="4">
      <c r="A4" s="4" t="inlineStr">
        <is>
          <t>A1030</t>
        </is>
      </c>
      <c r="B4" s="4" t="inlineStr">
        <is>
          <t>Pile cap rebar and formwork</t>
        </is>
      </c>
      <c r="C4" s="4">
        <v>8</v>
      </c>
      <c r="D4" s="5">
        <v>46310</v>
      </c>
      <c r="E4" s="5">
        <v>46318</v>
      </c>
      <c r="F4" s="5">
        <v>46310</v>
      </c>
      <c r="G4" s="4"/>
      <c r="H4" s="10">
        <v>0.25</v>
      </c>
    </row>
    <row r="5">
      <c r="A5" s="4" t="inlineStr">
        <is>
          <t>A1035</t>
        </is>
      </c>
      <c r="B5" s="4" t="inlineStr">
        <is>
          <t>Prefabricate column starter bars</t>
        </is>
      </c>
      <c r="C5" s="4">
        <v>3</v>
      </c>
      <c r="D5" s="5">
        <v>46310</v>
      </c>
      <c r="E5" s="5">
        <v>46312</v>
      </c>
      <c r="F5" s="4"/>
      <c r="G5" s="4"/>
      <c r="H5" s="10">
        <v>0</v>
      </c>
    </row>
    <row r="6">
      <c r="A6" s="4" t="inlineStr">
        <is>
          <t>A1040</t>
        </is>
      </c>
      <c r="B6" s="4" t="inlineStr">
        <is>
          <t>Pile caps, ground beams</t>
        </is>
      </c>
      <c r="C6" s="4">
        <v>2</v>
      </c>
      <c r="D6" s="5">
        <v>46319</v>
      </c>
      <c r="E6" s="5">
        <v>46321</v>
      </c>
      <c r="F6" s="4"/>
      <c r="G6" s="4"/>
      <c r="H6" s="10">
        <v>0</v>
      </c>
    </row>
    <row r="7">
      <c r="A7" s="4" t="inlineStr">
        <is>
          <t>A1050</t>
        </is>
      </c>
      <c r="B7" s="4" t="inlineStr">
        <is>
          <t>Backfill, raise ground floor</t>
        </is>
      </c>
      <c r="C7" s="4">
        <v>6</v>
      </c>
      <c r="D7" s="5">
        <v>46322</v>
      </c>
      <c r="E7" s="5">
        <v>46328</v>
      </c>
      <c r="F7" s="4"/>
      <c r="G7" s="4"/>
      <c r="H7" s="10">
        <v>0</v>
      </c>
    </row>
    <row r="8">
      <c r="A8" s="4" t="inlineStr">
        <is>
          <t>A1060</t>
        </is>
      </c>
      <c r="B8" s="4" t="inlineStr">
        <is>
          <t>Foundation acceptance</t>
        </is>
      </c>
      <c r="C8" s="4">
        <v>0</v>
      </c>
      <c r="D8" s="4"/>
      <c r="E8" s="5">
        <v>46329</v>
      </c>
      <c r="F8" s="4"/>
      <c r="G8" s="4"/>
      <c r="H8" s="10">
        <v>0</v>
      </c>
    </row>
  </sheetData>
  <hyperlinks>
    <hyperlink ref="J1" location="'Index'!A8" display="← Index"/>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7"/>
  <sheetViews>
    <sheetView workbookViewId="0">
      <selection activeCell="A3" sqref="A3"/>
    </sheetView>
  </sheetViews>
  <sheetFormatPr defaultRowHeight="15"/>
  <cols>
    <col min="1" max="1" width="11.00" customWidth="1"/>
    <col min="2" max="2" width="8.00" customWidth="1"/>
    <col min="3" max="3" width="5.50" customWidth="1"/>
    <col min="4" max="4" width="5.50" customWidth="1"/>
    <col min="5" max="5" width="8.50" customWidth="1"/>
    <col min="6" max="6" width="5.50" customWidth="1"/>
    <col min="7" max="7" width="5.50" customWidth="1"/>
    <col min="8" max="8" width="4.00" customWidth="1"/>
    <col min="9" max="9" width="4.00" customWidth="1"/>
    <col min="10" max="10" width="8.40" customWidth="1"/>
    <col min="11" max="11" width="8.40" customWidth="1"/>
    <col min="13" max="13" width="12.00" customWidth="1"/>
  </cols>
  <sheetData>
    <row r="1" ht="40.50" customHeight="1">
      <c r="A1" s="2" t="inlineStr">
        <is>
          <t>Activity Name</t>
        </is>
      </c>
      <c r="B1" s="2" t="inlineStr">
        <is>
          <t>Duration</t>
        </is>
      </c>
      <c r="C1" s="2" t="inlineStr">
        <is>
          <t>Start</t>
        </is>
      </c>
      <c r="D1" s="2" t="inlineStr">
        <is>
          <t>Finish</t>
        </is>
      </c>
      <c r="E1" s="2" t="inlineStr">
        <is>
          <t>Complete (%)</t>
        </is>
      </c>
      <c r="F1" s="2" t="inlineStr">
        <is>
          <t>Actual Start</t>
        </is>
      </c>
      <c r="G1" s="2" t="inlineStr">
        <is>
          <t>Actual Finish</t>
        </is>
      </c>
      <c r="H1" s="2" t="inlineStr">
        <is>
          <t>BAC</t>
        </is>
      </c>
      <c r="I1" s="2" t="inlineStr">
        <is>
          <t>EV</t>
        </is>
      </c>
      <c r="M1" s="106" t="inlineStr">
        <is>
          <t>← Index</t>
        </is>
      </c>
    </row>
    <row r="2">
      <c r="A2" s="4" t="inlineStr">
        <is>
          <t>Columns L2</t>
        </is>
      </c>
      <c r="B2" s="4">
        <v>4</v>
      </c>
      <c r="C2" s="6" t="inlineStr">
        <is>
          <t>05/10</t>
        </is>
      </c>
      <c r="D2" s="6" t="inlineStr">
        <is>
          <t>08/10</t>
        </is>
      </c>
      <c r="E2" s="10">
        <v>1</v>
      </c>
      <c r="F2" s="6" t="inlineStr">
        <is>
          <t>05/10</t>
        </is>
      </c>
      <c r="G2" s="6" t="inlineStr">
        <is>
          <t>08/10</t>
        </is>
      </c>
      <c r="H2" s="4">
        <v>120</v>
      </c>
      <c r="I2" s="4">
        <v>120</v>
      </c>
    </row>
    <row r="3">
      <c r="A3" s="4" t="inlineStr">
        <is>
          <t>Slab rebar L2</t>
        </is>
      </c>
      <c r="B3" s="4">
        <v>8</v>
      </c>
      <c r="C3" s="6" t="inlineStr">
        <is>
          <t>09/10</t>
        </is>
      </c>
      <c r="D3" s="6" t="inlineStr">
        <is>
          <t>17/10</t>
        </is>
      </c>
      <c r="E3" s="10">
        <v>1</v>
      </c>
      <c r="F3" s="6" t="inlineStr">
        <is>
          <t>09/10</t>
        </is>
      </c>
      <c r="G3" s="6" t="inlineStr">
        <is>
          <t>19/10</t>
        </is>
      </c>
      <c r="H3" s="4">
        <v>260</v>
      </c>
      <c r="I3" s="4">
        <v>260</v>
      </c>
    </row>
    <row r="4">
      <c r="A4" s="4" t="inlineStr">
        <is>
          <t>Brickwork L1</t>
        </is>
      </c>
      <c r="B4" s="4">
        <v>10</v>
      </c>
      <c r="C4" s="6" t="inlineStr">
        <is>
          <t>12/10</t>
        </is>
      </c>
      <c r="D4" s="6" t="inlineStr">
        <is>
          <t>23/10</t>
        </is>
      </c>
      <c r="E4" s="10">
        <v>0.6</v>
      </c>
      <c r="F4" s="6" t="inlineStr">
        <is>
          <t>13/10</t>
        </is>
      </c>
      <c r="G4" s="4"/>
      <c r="H4" s="4">
        <v>150</v>
      </c>
      <c r="I4" s="4">
        <v>90</v>
      </c>
    </row>
    <row r="5">
      <c r="A5" s="4" t="inlineStr">
        <is>
          <t>Columns L3</t>
        </is>
      </c>
      <c r="B5" s="4">
        <v>3</v>
      </c>
      <c r="C5" s="6" t="inlineStr">
        <is>
          <t>19/10</t>
        </is>
      </c>
      <c r="D5" s="6" t="inlineStr">
        <is>
          <t>21/10</t>
        </is>
      </c>
      <c r="E5" s="10">
        <v>0.5</v>
      </c>
      <c r="F5" s="6" t="inlineStr">
        <is>
          <t>20/10</t>
        </is>
      </c>
      <c r="G5" s="4"/>
      <c r="H5" s="4">
        <v>90</v>
      </c>
      <c r="I5" s="4">
        <v>45</v>
      </c>
    </row>
    <row r="6">
      <c r="A6" s="4" t="inlineStr">
        <is>
          <t>Conduits L1</t>
        </is>
      </c>
      <c r="B6" s="4">
        <v>5</v>
      </c>
      <c r="C6" s="6" t="inlineStr">
        <is>
          <t>16/10</t>
        </is>
      </c>
      <c r="D6" s="6" t="inlineStr">
        <is>
          <t>21/10</t>
        </is>
      </c>
      <c r="E6" s="10">
        <v>0</v>
      </c>
      <c r="F6" s="4"/>
      <c r="G6" s="4"/>
      <c r="H6" s="4">
        <v>70</v>
      </c>
      <c r="I6" s="4">
        <v>0</v>
      </c>
    </row>
    <row r="7">
      <c r="A7" s="4" t="inlineStr">
        <is>
          <t>Plaster L1</t>
        </is>
      </c>
      <c r="B7" s="4">
        <v>8</v>
      </c>
      <c r="C7" s="6" t="inlineStr">
        <is>
          <t>26/10</t>
        </is>
      </c>
      <c r="D7" s="6" t="inlineStr">
        <is>
          <t>03/11</t>
        </is>
      </c>
      <c r="E7" s="10">
        <v>0</v>
      </c>
      <c r="F7" s="4"/>
      <c r="G7" s="4"/>
      <c r="H7" s="4">
        <v>180</v>
      </c>
      <c r="I7" s="4">
        <v>0</v>
      </c>
    </row>
  </sheetData>
  <hyperlinks>
    <hyperlink ref="M1" location="'Index'!A9" display="← Index"/>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7"/>
  <sheetViews>
    <sheetView workbookViewId="0">
      <selection activeCell="A7" sqref="A7:F7"/>
    </sheetView>
  </sheetViews>
  <sheetFormatPr defaultRowHeight="15"/>
  <cols>
    <col min="1" max="1" width="9.00" customWidth="1"/>
    <col min="2" max="2" width="25.00" customWidth="1"/>
    <col min="3" max="3" width="8.00" customWidth="1"/>
    <col min="4" max="4" width="10.00" customWidth="1"/>
    <col min="5" max="5" width="10.00" customWidth="1"/>
    <col min="6" max="6" width="11.00" customWidth="1"/>
    <col min="7" max="7" width="8.40" customWidth="1"/>
    <col min="9" max="9" width="12.00" customWidth="1"/>
  </cols>
  <sheetData>
    <row r="1" ht="28.50" customHeight="1">
      <c r="A1" s="2" t="inlineStr">
        <is>
          <t>Activity ID</t>
        </is>
      </c>
      <c r="B1" s="2" t="inlineStr">
        <is>
          <t>Activity Name</t>
        </is>
      </c>
      <c r="C1" s="2" t="inlineStr">
        <is>
          <t>Duration</t>
        </is>
      </c>
      <c r="D1" s="2" t="inlineStr">
        <is>
          <t>Start</t>
        </is>
      </c>
      <c r="E1" s="2" t="inlineStr">
        <is>
          <t>Finish</t>
        </is>
      </c>
      <c r="F1" s="2" t="inlineStr">
        <is>
          <t>Predecessors</t>
        </is>
      </c>
      <c r="I1" s="106" t="inlineStr">
        <is>
          <t>← Index</t>
        </is>
      </c>
    </row>
    <row r="2">
      <c r="A2" s="4" t="inlineStr">
        <is>
          <t>A1010</t>
        </is>
      </c>
      <c r="B2" s="4" t="inlineStr">
        <is>
          <t>Excavate foundation pits</t>
        </is>
      </c>
      <c r="C2" s="4">
        <v>6</v>
      </c>
      <c r="D2" s="5">
        <v>46300</v>
      </c>
      <c r="E2" s="5">
        <v>46305</v>
      </c>
      <c r="F2" s="4"/>
    </row>
    <row r="3">
      <c r="A3" s="4" t="inlineStr">
        <is>
          <t>A1020</t>
        </is>
      </c>
      <c r="B3" s="4" t="inlineStr">
        <is>
          <t>Blinding concrete</t>
        </is>
      </c>
      <c r="C3" s="4">
        <v>2</v>
      </c>
      <c r="D3" s="5">
        <v>46307</v>
      </c>
      <c r="E3" s="5">
        <v>46308</v>
      </c>
      <c r="F3" s="6" t="inlineStr">
        <is>
          <t>A1010FS</t>
        </is>
      </c>
    </row>
    <row r="4">
      <c r="A4" s="4" t="inlineStr">
        <is>
          <t>A1030</t>
        </is>
      </c>
      <c r="B4" s="4" t="inlineStr">
        <is>
          <t>Pile cap rebar and formwork</t>
        </is>
      </c>
      <c r="C4" s="4">
        <v>8</v>
      </c>
      <c r="D4" s="5">
        <v>46309</v>
      </c>
      <c r="E4" s="5">
        <v>46317</v>
      </c>
      <c r="F4" s="6" t="inlineStr">
        <is>
          <t>A1020FS</t>
        </is>
      </c>
    </row>
    <row r="5">
      <c r="A5" s="4" t="inlineStr">
        <is>
          <t>A1040</t>
        </is>
      </c>
      <c r="B5" s="4" t="inlineStr">
        <is>
          <t>Pile caps, ground beams</t>
        </is>
      </c>
      <c r="C5" s="4">
        <v>2</v>
      </c>
      <c r="D5" s="5">
        <v>46318</v>
      </c>
      <c r="E5" s="5">
        <v>46319</v>
      </c>
      <c r="F5" s="6" t="inlineStr">
        <is>
          <t>A1030FS</t>
        </is>
      </c>
    </row>
    <row r="6">
      <c r="A6" s="4" t="inlineStr">
        <is>
          <t>A1050</t>
        </is>
      </c>
      <c r="B6" s="4" t="inlineStr">
        <is>
          <t>Backfill, raise ground floor</t>
        </is>
      </c>
      <c r="C6" s="4">
        <v>6</v>
      </c>
      <c r="D6" s="5">
        <v>46321</v>
      </c>
      <c r="E6" s="5">
        <v>46326</v>
      </c>
      <c r="F6" s="6" t="inlineStr">
        <is>
          <t>A1040FS</t>
        </is>
      </c>
    </row>
    <row r="7" ht="24.00" customHeight="1">
      <c r="A7" s="4" t="inlineStr">
        <is>
          <t>A1070</t>
        </is>
      </c>
      <c r="B7" s="4" t="inlineStr">
        <is>
          <t>Erect tower crane</t>
        </is>
      </c>
      <c r="C7" s="4">
        <v>3</v>
      </c>
      <c r="D7" s="5">
        <v>46321</v>
      </c>
      <c r="E7" s="5">
        <v>46323</v>
      </c>
      <c r="F7" s="6" t="inlineStr">
        <is>
          <t>A1040FS</t>
        </is>
      </c>
    </row>
  </sheetData>
  <hyperlinks>
    <hyperlink ref="I1" location="'Index'!A12" display="← Index"/>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7"/>
  <sheetViews>
    <sheetView workbookViewId="0">
      <selection activeCell="A2" sqref="A2"/>
    </sheetView>
  </sheetViews>
  <sheetFormatPr defaultRowHeight="15"/>
  <cols>
    <col min="1" max="1" width="10.00" customWidth="1"/>
    <col min="2" max="2" width="25.00" customWidth="1"/>
    <col min="3" max="3" width="9.00" customWidth="1"/>
    <col min="4" max="4" width="10.50" customWidth="1"/>
    <col min="5" max="5" width="10.50" customWidth="1"/>
    <col min="6" max="6" width="12.00" customWidth="1"/>
    <col min="7" max="7" width="11.00" customWidth="1"/>
    <col min="9" max="9" width="12.00" customWidth="1"/>
  </cols>
  <sheetData>
    <row r="1">
      <c r="A1" s="1" t="inlineStr">
        <is>
          <t>SCHEDULE — 9-storey office building</t>
        </is>
      </c>
      <c r="I1" s="106" t="inlineStr">
        <is>
          <t>← Index</t>
        </is>
      </c>
    </row>
    <row r="2" ht="28.50" customHeight="1">
      <c r="A2" s="2" t="inlineStr">
        <is>
          <t>Activity ID</t>
        </is>
      </c>
      <c r="B2" s="2" t="inlineStr">
        <is>
          <t>Activity Name</t>
        </is>
      </c>
      <c r="C2" s="2" t="inlineStr">
        <is>
          <t>Duration</t>
        </is>
      </c>
      <c r="D2" s="2" t="inlineStr">
        <is>
          <t>Start</t>
        </is>
      </c>
      <c r="E2" s="2" t="inlineStr">
        <is>
          <t>Finish</t>
        </is>
      </c>
      <c r="F2" s="2" t="inlineStr">
        <is>
          <t>Predecessors</t>
        </is>
      </c>
      <c r="G2" s="2" t="inlineStr">
        <is>
          <t>Complete (%)</t>
        </is>
      </c>
    </row>
    <row r="3">
      <c r="A3" s="4" t="inlineStr">
        <is>
          <t>A1010</t>
        </is>
      </c>
      <c r="B3" s="4" t="inlineStr">
        <is>
          <t>Excavate foundation pits</t>
        </is>
      </c>
      <c r="C3" s="4">
        <v>6</v>
      </c>
      <c r="D3" s="5">
        <v>46300</v>
      </c>
      <c r="E3" s="5">
        <v>46305</v>
      </c>
      <c r="F3" s="4"/>
      <c r="G3" s="10">
        <v>1</v>
      </c>
    </row>
    <row r="4">
      <c r="A4" s="4" t="inlineStr">
        <is>
          <t>A1020</t>
        </is>
      </c>
      <c r="B4" s="4" t="inlineStr">
        <is>
          <t>Blinding concrete</t>
        </is>
      </c>
      <c r="C4" s="4">
        <v>2</v>
      </c>
      <c r="D4" s="5">
        <v>46307</v>
      </c>
      <c r="E4" s="5">
        <v>46308</v>
      </c>
      <c r="F4" s="6" t="inlineStr">
        <is>
          <t>A1010FS</t>
        </is>
      </c>
      <c r="G4" s="10">
        <v>1</v>
      </c>
    </row>
    <row r="5">
      <c r="A5" s="4" t="inlineStr">
        <is>
          <t>A1030</t>
        </is>
      </c>
      <c r="B5" s="4" t="inlineStr">
        <is>
          <t>Pile cap rebar and formwork</t>
        </is>
      </c>
      <c r="C5" s="4">
        <v>8</v>
      </c>
      <c r="D5" s="5">
        <v>46309</v>
      </c>
      <c r="E5" s="5">
        <v>46317</v>
      </c>
      <c r="F5" s="6" t="inlineStr">
        <is>
          <t>A1020FS</t>
        </is>
      </c>
      <c r="G5" s="10">
        <v>0.4</v>
      </c>
    </row>
    <row r="6">
      <c r="A6" s="4" t="inlineStr">
        <is>
          <t>A1040</t>
        </is>
      </c>
      <c r="B6" s="4" t="inlineStr">
        <is>
          <t>Pile caps, ground beams</t>
        </is>
      </c>
      <c r="C6" s="4">
        <v>2</v>
      </c>
      <c r="D6" s="5">
        <v>46318</v>
      </c>
      <c r="E6" s="5">
        <v>46319</v>
      </c>
      <c r="F6" s="6" t="inlineStr">
        <is>
          <t>A1030FS</t>
        </is>
      </c>
      <c r="G6" s="10">
        <v>0</v>
      </c>
    </row>
    <row r="7">
      <c r="A7" s="4" t="inlineStr">
        <is>
          <t>A1050</t>
        </is>
      </c>
      <c r="B7" s="4" t="inlineStr">
        <is>
          <t>Backfill, raise ground floor</t>
        </is>
      </c>
      <c r="C7" s="4">
        <v>6</v>
      </c>
      <c r="D7" s="5">
        <v>46321</v>
      </c>
      <c r="E7" s="5">
        <v>46326</v>
      </c>
      <c r="F7" s="6" t="inlineStr">
        <is>
          <t>A1040FS</t>
        </is>
      </c>
      <c r="G7" s="10">
        <v>0</v>
      </c>
    </row>
  </sheetData>
  <hyperlinks>
    <hyperlink ref="I1" location="'Index'!A13" display="← Index"/>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7"/>
  <sheetViews>
    <sheetView workbookViewId="0">
      <selection activeCell="A2" sqref="A2"/>
    </sheetView>
  </sheetViews>
  <sheetFormatPr defaultRowHeight="15"/>
  <cols>
    <col min="1" max="1" width="9.00" customWidth="1"/>
    <col min="2" max="2" width="26.00" customWidth="1"/>
    <col min="3" max="3" width="8.00" customWidth="1"/>
    <col min="4" max="4" width="11.00" customWidth="1"/>
    <col min="5" max="5" width="11.00" customWidth="1"/>
    <col min="6" max="6" width="11.00" customWidth="1"/>
    <col min="8" max="8" width="12.00" customWidth="1"/>
  </cols>
  <sheetData>
    <row r="1" ht="28.50" customHeight="1">
      <c r="A1" s="2" t="inlineStr">
        <is>
          <t>Activity ID</t>
        </is>
      </c>
      <c r="B1" s="2" t="inlineStr">
        <is>
          <t>Activity Name</t>
        </is>
      </c>
      <c r="C1" s="2" t="inlineStr">
        <is>
          <t>Duration</t>
        </is>
      </c>
      <c r="D1" s="2" t="inlineStr">
        <is>
          <t>Start</t>
        </is>
      </c>
      <c r="E1" s="2" t="inlineStr">
        <is>
          <t>Finish</t>
        </is>
      </c>
      <c r="F1" s="2" t="inlineStr">
        <is>
          <t>Predecessors</t>
        </is>
      </c>
      <c r="H1" s="106" t="inlineStr">
        <is>
          <t>← Index</t>
        </is>
      </c>
    </row>
    <row r="2">
      <c r="A2" s="4" t="inlineStr">
        <is>
          <t>A1010</t>
        </is>
      </c>
      <c r="B2" s="4" t="inlineStr">
        <is>
          <t>Excavate foundation pits</t>
        </is>
      </c>
      <c r="C2" s="4">
        <v>6</v>
      </c>
      <c r="D2" s="5">
        <v>46300</v>
      </c>
      <c r="E2" s="5">
        <v>46305</v>
      </c>
      <c r="F2" s="4"/>
    </row>
    <row r="3">
      <c r="A3" s="4" t="inlineStr">
        <is>
          <t>A1020</t>
        </is>
      </c>
      <c r="B3" s="4" t="inlineStr">
        <is>
          <t>Blinding concrete</t>
        </is>
      </c>
      <c r="C3" s="4">
        <v>2</v>
      </c>
      <c r="D3" s="5">
        <v>46307</v>
      </c>
      <c r="E3" s="5">
        <v>46308</v>
      </c>
      <c r="F3" s="6" t="inlineStr">
        <is>
          <t>A1010FS</t>
        </is>
      </c>
    </row>
    <row r="4">
      <c r="A4" s="4" t="inlineStr">
        <is>
          <t>A1030</t>
        </is>
      </c>
      <c r="B4" s="4" t="inlineStr">
        <is>
          <t>Pile cap rebar and formwork</t>
        </is>
      </c>
      <c r="C4" s="4">
        <v>8</v>
      </c>
      <c r="D4" s="5">
        <v>46309</v>
      </c>
      <c r="E4" s="5">
        <v>46317</v>
      </c>
      <c r="F4" s="6" t="inlineStr">
        <is>
          <t>A1020FS</t>
        </is>
      </c>
    </row>
    <row r="5">
      <c r="A5" s="4" t="inlineStr">
        <is>
          <t>A1040</t>
        </is>
      </c>
      <c r="B5" s="4" t="inlineStr">
        <is>
          <t>Pile caps, ground beams</t>
        </is>
      </c>
      <c r="C5" s="4">
        <v>2</v>
      </c>
      <c r="D5" s="5">
        <v>46318</v>
      </c>
      <c r="E5" s="5">
        <v>46319</v>
      </c>
      <c r="F5" s="6" t="inlineStr">
        <is>
          <t>A1030FS</t>
        </is>
      </c>
    </row>
    <row r="6">
      <c r="A6" s="4" t="inlineStr">
        <is>
          <t>A1050</t>
        </is>
      </c>
      <c r="B6" s="4" t="inlineStr">
        <is>
          <t>Backfill, raise ground floor</t>
        </is>
      </c>
      <c r="C6" s="4">
        <v>6</v>
      </c>
      <c r="D6" s="5">
        <v>46321</v>
      </c>
      <c r="E6" s="5">
        <v>46326</v>
      </c>
      <c r="F6" s="6" t="inlineStr">
        <is>
          <t>A1040FS</t>
        </is>
      </c>
    </row>
    <row r="7">
      <c r="A7" s="4" t="inlineStr">
        <is>
          <t>A1060</t>
        </is>
      </c>
      <c r="B7" s="4" t="inlineStr">
        <is>
          <t>Foundation acceptance</t>
        </is>
      </c>
      <c r="C7" s="4">
        <v>0</v>
      </c>
      <c r="D7" s="4"/>
      <c r="E7" s="5">
        <v>46328</v>
      </c>
      <c r="F7" s="6" t="inlineStr">
        <is>
          <t>A1050FS</t>
        </is>
      </c>
    </row>
  </sheetData>
  <hyperlinks>
    <hyperlink ref="H1" location="'Index'!A14" display="← Index"/>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11"/>
  <sheetViews>
    <sheetView workbookViewId="0">
      <selection activeCell="A3" sqref="A3:D11"/>
    </sheetView>
  </sheetViews>
  <sheetFormatPr defaultRowHeight="15"/>
  <cols>
    <col min="1" max="1" width="10.00" customWidth="1"/>
    <col min="2" max="2" width="44.00" customWidth="1"/>
    <col min="3" max="3" width="8.00" customWidth="1"/>
    <col min="4" max="4" width="11.00" customWidth="1"/>
    <col min="6" max="6" width="12.00" customWidth="1"/>
  </cols>
  <sheetData>
    <row r="1">
      <c r="A1" s="1" t="inlineStr">
        <is>
          <t>BILL OF QUANTITIES – 9-STOREY OFFICE BUILDING</t>
        </is>
      </c>
      <c r="F1" s="106" t="inlineStr">
        <is>
          <t>← Index</t>
        </is>
      </c>
    </row>
    <row r="3">
      <c r="A3" s="3" t="inlineStr">
        <is>
          <t>Code</t>
        </is>
      </c>
      <c r="B3" s="3" t="inlineStr">
        <is>
          <t>Item name</t>
        </is>
      </c>
      <c r="C3" s="3" t="inlineStr">
        <is>
          <t>Unit</t>
        </is>
      </c>
      <c r="D3" s="3" t="inlineStr">
        <is>
          <t>Quantity</t>
        </is>
      </c>
    </row>
    <row r="4">
      <c r="A4" s="4" t="inlineStr">
        <is>
          <t>AB.25112</t>
        </is>
      </c>
      <c r="B4" s="4" t="inlineStr">
        <is>
          <t>Machine excavation of foundations, soil grade II</t>
        </is>
      </c>
      <c r="C4" s="6" t="inlineStr">
        <is>
          <t>100m³</t>
        </is>
      </c>
      <c r="D4" s="11">
        <v>12.5</v>
      </c>
    </row>
    <row r="5">
      <c r="A5" s="4" t="inlineStr">
        <is>
          <t>AF.11111</t>
        </is>
      </c>
      <c r="B5" s="4" t="inlineStr">
        <is>
          <t>Blinding concrete 4x6 aggregate, M100</t>
        </is>
      </c>
      <c r="C5" s="6" t="inlineStr">
        <is>
          <t>m³</t>
        </is>
      </c>
      <c r="D5" s="11">
        <v>38.4</v>
      </c>
    </row>
    <row r="6">
      <c r="A6" s="4" t="inlineStr">
        <is>
          <t>AF.61120</t>
        </is>
      </c>
      <c r="B6" s="4" t="inlineStr">
        <is>
          <t>Foundation rebar, diameter ≤18 mm</t>
        </is>
      </c>
      <c r="C6" s="6" t="inlineStr">
        <is>
          <t>t</t>
        </is>
      </c>
      <c r="D6" s="11">
        <v>24.6</v>
      </c>
    </row>
    <row r="7">
      <c r="A7" s="4" t="inlineStr">
        <is>
          <t>AF.81122</t>
        </is>
      </c>
      <c r="B7" s="4" t="inlineStr">
        <is>
          <t>Foundation formwork</t>
        </is>
      </c>
      <c r="C7" s="6" t="inlineStr">
        <is>
          <t>100m²</t>
        </is>
      </c>
      <c r="D7" s="11">
        <v>3.85</v>
      </c>
    </row>
    <row r="8">
      <c r="A8" s="4" t="inlineStr">
        <is>
          <t>AF.21225</t>
        </is>
      </c>
      <c r="B8" s="4" t="inlineStr">
        <is>
          <t>Foundation concrete 1x2 aggregate, M300</t>
        </is>
      </c>
      <c r="C8" s="6" t="inlineStr">
        <is>
          <t>m³</t>
        </is>
      </c>
      <c r="D8" s="11">
        <v>286.5</v>
      </c>
    </row>
    <row r="9">
      <c r="A9" s="4" t="inlineStr">
        <is>
          <t>AB.13112</t>
        </is>
      </c>
      <c r="B9" s="4" t="inlineStr">
        <is>
          <t>Backfill to K95 compaction</t>
        </is>
      </c>
      <c r="C9" s="6" t="inlineStr">
        <is>
          <t>m³</t>
        </is>
      </c>
      <c r="D9" s="11">
        <v>420</v>
      </c>
    </row>
    <row r="10">
      <c r="A10" s="4" t="inlineStr">
        <is>
          <t>AF.22245</t>
        </is>
      </c>
      <c r="B10" s="4" t="inlineStr">
        <is>
          <t>Column concrete 1x2 aggregate, M350</t>
        </is>
      </c>
      <c r="C10" s="6" t="inlineStr">
        <is>
          <t>m³</t>
        </is>
      </c>
      <c r="D10" s="11">
        <v>42.8</v>
      </c>
    </row>
    <row r="11">
      <c r="A11" s="4" t="inlineStr">
        <is>
          <t>AF.22345</t>
        </is>
      </c>
      <c r="B11" s="4" t="inlineStr">
        <is>
          <t>Beam and slab concrete 1x2 aggregate, M300</t>
        </is>
      </c>
      <c r="C11" s="6" t="inlineStr">
        <is>
          <t>m³</t>
        </is>
      </c>
      <c r="D11" s="11">
        <v>156.2</v>
      </c>
    </row>
  </sheetData>
  <hyperlinks>
    <hyperlink ref="F1" location="'Index'!A17" display="← Index"/>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10"/>
  <sheetViews>
    <sheetView workbookViewId="0">
      <selection activeCell="A4" sqref="A4"/>
    </sheetView>
  </sheetViews>
  <sheetFormatPr defaultRowHeight="15"/>
  <cols>
    <col min="1" max="1" width="7.00" customWidth="1"/>
    <col min="2" max="2" width="25.00" customWidth="1"/>
    <col min="3" max="3" width="8.00" customWidth="1"/>
    <col min="4" max="4" width="10.00" customWidth="1"/>
    <col min="5" max="5" width="10.00" customWidth="1"/>
    <col min="6" max="6" width="10.00" customWidth="1"/>
    <col min="8" max="8" width="12.00" customWidth="1"/>
  </cols>
  <sheetData>
    <row r="1">
      <c r="A1" s="1" t="inlineStr">
        <is>
          <t>CONSTRUCTION SCHEDULE — 9-STOREY OFFICE BUILDING</t>
        </is>
      </c>
      <c r="H1" s="106" t="inlineStr">
        <is>
          <t>← Index</t>
        </is>
      </c>
    </row>
    <row r="2" ht="27.00" customHeight="1">
      <c r="A2" s="2" t="inlineStr">
        <is>
          <t>Activity ID</t>
        </is>
      </c>
      <c r="B2" s="2" t="inlineStr">
        <is>
          <t>Activity Name</t>
        </is>
      </c>
      <c r="C2" s="2" t="inlineStr">
        <is>
          <t>Duration</t>
        </is>
      </c>
      <c r="D2" s="2" t="inlineStr">
        <is>
          <t>Start</t>
        </is>
      </c>
      <c r="E2" s="2" t="inlineStr">
        <is>
          <t>Finish</t>
        </is>
      </c>
      <c r="F2" s="2" t="inlineStr">
        <is>
          <t>Complete (%)</t>
        </is>
      </c>
    </row>
    <row r="3">
      <c r="A3" s="4" t="inlineStr">
        <is>
          <t>A1010</t>
        </is>
      </c>
      <c r="B3" s="4" t="inlineStr">
        <is>
          <t>Concrete, level-3 columns</t>
        </is>
      </c>
      <c r="C3" s="6">
        <v>6</v>
      </c>
      <c r="D3" s="12">
        <v>46272</v>
      </c>
      <c r="E3" s="12">
        <v>46277</v>
      </c>
      <c r="F3" s="13">
        <v>1</v>
      </c>
    </row>
    <row r="4">
      <c r="A4" s="4" t="inlineStr">
        <is>
          <t>A1020</t>
        </is>
      </c>
      <c r="B4" s="4" t="inlineStr">
        <is>
          <t>Formwork &amp; rebar, level-3 slab</t>
        </is>
      </c>
      <c r="C4" s="6">
        <v>15</v>
      </c>
      <c r="D4" s="12">
        <v>46279</v>
      </c>
      <c r="E4" s="12">
        <v>46295</v>
      </c>
      <c r="F4" s="13">
        <v>0.75</v>
      </c>
    </row>
    <row r="5">
      <c r="A5" s="4" t="inlineStr">
        <is>
          <t>A1030</t>
        </is>
      </c>
      <c r="B5" s="4" t="inlineStr">
        <is>
          <t>Concrete, level-3 slab</t>
        </is>
      </c>
      <c r="C5" s="6">
        <v>2</v>
      </c>
      <c r="D5" s="12">
        <v>46296</v>
      </c>
      <c r="E5" s="12">
        <v>46297</v>
      </c>
      <c r="F5" s="13">
        <v>0</v>
      </c>
    </row>
    <row r="6">
      <c r="A6" s="4" t="inlineStr">
        <is>
          <t>A1040</t>
        </is>
      </c>
      <c r="B6" s="4" t="inlineStr">
        <is>
          <t>Column rebar &amp; forms, level 4</t>
        </is>
      </c>
      <c r="C6" s="6">
        <v>6</v>
      </c>
      <c r="D6" s="12">
        <v>46300</v>
      </c>
      <c r="E6" s="12">
        <v>46305</v>
      </c>
      <c r="F6" s="13">
        <v>0</v>
      </c>
    </row>
    <row r="7">
      <c r="A7" s="4" t="inlineStr">
        <is>
          <t>A2010</t>
        </is>
      </c>
      <c r="B7" s="4" t="inlineStr">
        <is>
          <t>Blockwork, level 1</t>
        </is>
      </c>
      <c r="C7" s="6">
        <v>18</v>
      </c>
      <c r="D7" s="12">
        <v>46279</v>
      </c>
      <c r="E7" s="12">
        <v>46298</v>
      </c>
      <c r="F7" s="13">
        <v>0.55</v>
      </c>
    </row>
    <row r="8">
      <c r="A8" s="4" t="inlineStr">
        <is>
          <t>A2020</t>
        </is>
      </c>
      <c r="B8" s="4" t="inlineStr">
        <is>
          <t>Blockwork, level 2</t>
        </is>
      </c>
      <c r="C8" s="6">
        <v>12</v>
      </c>
      <c r="D8" s="12">
        <v>46300</v>
      </c>
      <c r="E8" s="12">
        <v>46312</v>
      </c>
      <c r="F8" s="13">
        <v>0</v>
      </c>
    </row>
    <row r="9">
      <c r="A9" s="4" t="inlineStr">
        <is>
          <t>A3010</t>
        </is>
      </c>
      <c r="B9" s="4" t="inlineStr">
        <is>
          <t>Plumbing pipework, level 1</t>
        </is>
      </c>
      <c r="C9" s="6">
        <v>11</v>
      </c>
      <c r="D9" s="12">
        <v>46286</v>
      </c>
      <c r="E9" s="12">
        <v>46297</v>
      </c>
      <c r="F9" s="13">
        <v>0.3</v>
      </c>
    </row>
    <row r="10">
      <c r="A10" s="4" t="inlineStr">
        <is>
          <t>A3020</t>
        </is>
      </c>
      <c r="B10" s="4" t="inlineStr">
        <is>
          <t>Concealed wiring, level 1</t>
        </is>
      </c>
      <c r="C10" s="6">
        <v>6</v>
      </c>
      <c r="D10" s="12">
        <v>46293</v>
      </c>
      <c r="E10" s="12">
        <v>46298</v>
      </c>
      <c r="F10" s="13">
        <v>0.1</v>
      </c>
    </row>
  </sheetData>
  <hyperlinks>
    <hyperlink ref="H1" location="'Index'!A18" display="← Index"/>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10"/>
  <sheetViews>
    <sheetView workbookViewId="0">
      <selection activeCell="F4" sqref="F4"/>
    </sheetView>
  </sheetViews>
  <sheetFormatPr defaultRowHeight="15"/>
  <cols>
    <col min="1" max="1" width="7.00" customWidth="1"/>
    <col min="2" max="2" width="25.00" customWidth="1"/>
    <col min="3" max="3" width="8.00" customWidth="1"/>
    <col min="4" max="4" width="10.00" customWidth="1"/>
    <col min="5" max="5" width="10.00" customWidth="1"/>
    <col min="6" max="6" width="11.00" customWidth="1"/>
    <col min="7" max="7" width="10.00" customWidth="1"/>
    <col min="8" max="8" width="10.00" customWidth="1"/>
    <col min="9" max="9" width="9.00" customWidth="1"/>
    <col min="10" max="10" width="7.00" customWidth="1"/>
    <col min="12" max="12" width="12.00" customWidth="1"/>
  </cols>
  <sheetData>
    <row r="1">
      <c r="A1" s="1" t="inlineStr">
        <is>
          <t>CONSTRUCTION SCHEDULE — 9-STOREY OFFICE BUILDING</t>
        </is>
      </c>
      <c r="L1" s="106" t="inlineStr">
        <is>
          <t>← Index</t>
        </is>
      </c>
    </row>
    <row r="2" ht="39.00" customHeight="1">
      <c r="A2" s="2" t="inlineStr">
        <is>
          <t>Activity ID</t>
        </is>
      </c>
      <c r="B2" s="2" t="inlineStr">
        <is>
          <t>Activity Name</t>
        </is>
      </c>
      <c r="C2" s="2" t="inlineStr">
        <is>
          <t>Duration</t>
        </is>
      </c>
      <c r="D2" s="2" t="inlineStr">
        <is>
          <t>Start</t>
        </is>
      </c>
      <c r="E2" s="2" t="inlineStr">
        <is>
          <t>Finish</t>
        </is>
      </c>
      <c r="F2" s="2" t="inlineStr">
        <is>
          <t>Predecessors</t>
        </is>
      </c>
      <c r="G2" s="2" t="inlineStr">
        <is>
          <t>Actual Start</t>
        </is>
      </c>
      <c r="H2" s="2" t="inlineStr">
        <is>
          <t>Actual Finish</t>
        </is>
      </c>
      <c r="I2" s="2" t="inlineStr">
        <is>
          <t>Complete (%)</t>
        </is>
      </c>
      <c r="J2" s="2" t="inlineStr">
        <is>
          <t>Total Float</t>
        </is>
      </c>
    </row>
    <row r="3">
      <c r="A3" s="4" t="inlineStr">
        <is>
          <t>A1010</t>
        </is>
      </c>
      <c r="B3" s="4" t="inlineStr">
        <is>
          <t>Concrete, level-3 columns</t>
        </is>
      </c>
      <c r="C3" s="6">
        <v>6</v>
      </c>
      <c r="D3" s="12">
        <v>46272</v>
      </c>
      <c r="E3" s="12">
        <v>46277</v>
      </c>
      <c r="F3" s="4"/>
      <c r="G3" s="12">
        <v>46272</v>
      </c>
      <c r="H3" s="12">
        <v>46277</v>
      </c>
      <c r="I3" s="13">
        <v>1</v>
      </c>
      <c r="J3" s="14">
        <v>0</v>
      </c>
    </row>
    <row r="4">
      <c r="A4" s="4" t="inlineStr">
        <is>
          <t>A1020</t>
        </is>
      </c>
      <c r="B4" s="4" t="inlineStr">
        <is>
          <t>Formwork &amp; rebar, level-3 slab</t>
        </is>
      </c>
      <c r="C4" s="6">
        <v>15</v>
      </c>
      <c r="D4" s="12">
        <v>46279</v>
      </c>
      <c r="E4" s="12">
        <v>46295</v>
      </c>
      <c r="F4" s="4" t="inlineStr">
        <is>
          <t>A1010</t>
        </is>
      </c>
      <c r="G4" s="12">
        <v>46279</v>
      </c>
      <c r="H4" s="4"/>
      <c r="I4" s="13">
        <v>0.75</v>
      </c>
      <c r="J4" s="14">
        <v>6</v>
      </c>
    </row>
    <row r="5">
      <c r="A5" s="4" t="inlineStr">
        <is>
          <t>A1030</t>
        </is>
      </c>
      <c r="B5" s="4" t="inlineStr">
        <is>
          <t>Concrete, level-3 slab</t>
        </is>
      </c>
      <c r="C5" s="6">
        <v>2</v>
      </c>
      <c r="D5" s="12">
        <v>46296</v>
      </c>
      <c r="E5" s="12">
        <v>46297</v>
      </c>
      <c r="F5" s="4" t="inlineStr">
        <is>
          <t>A1020</t>
        </is>
      </c>
      <c r="G5" s="4"/>
      <c r="H5" s="4"/>
      <c r="I5" s="13">
        <v>0</v>
      </c>
      <c r="J5" s="14">
        <v>6</v>
      </c>
    </row>
    <row r="6">
      <c r="A6" s="4" t="inlineStr">
        <is>
          <t>A1040</t>
        </is>
      </c>
      <c r="B6" s="4" t="inlineStr">
        <is>
          <t>Column rebar &amp; forms, level 4</t>
        </is>
      </c>
      <c r="C6" s="6">
        <v>6</v>
      </c>
      <c r="D6" s="12">
        <v>46300</v>
      </c>
      <c r="E6" s="12">
        <v>46305</v>
      </c>
      <c r="F6" s="4" t="inlineStr">
        <is>
          <t>A1030FS+2</t>
        </is>
      </c>
      <c r="G6" s="4"/>
      <c r="H6" s="4"/>
      <c r="I6" s="13">
        <v>0</v>
      </c>
      <c r="J6" s="14">
        <v>6</v>
      </c>
    </row>
    <row r="7">
      <c r="A7" s="4" t="inlineStr">
        <is>
          <t>A2010</t>
        </is>
      </c>
      <c r="B7" s="4" t="inlineStr">
        <is>
          <t>Blockwork, level 1</t>
        </is>
      </c>
      <c r="C7" s="6">
        <v>18</v>
      </c>
      <c r="D7" s="12">
        <v>46279</v>
      </c>
      <c r="E7" s="12">
        <v>46298</v>
      </c>
      <c r="F7" s="4" t="inlineStr">
        <is>
          <t>A1010</t>
        </is>
      </c>
      <c r="G7" s="12">
        <v>46279</v>
      </c>
      <c r="H7" s="4"/>
      <c r="I7" s="13">
        <v>0.55</v>
      </c>
      <c r="J7" s="14">
        <v>0</v>
      </c>
    </row>
    <row r="8">
      <c r="A8" s="4" t="inlineStr">
        <is>
          <t>A2020</t>
        </is>
      </c>
      <c r="B8" s="4" t="inlineStr">
        <is>
          <t>Blockwork, level 2</t>
        </is>
      </c>
      <c r="C8" s="6">
        <v>12</v>
      </c>
      <c r="D8" s="12">
        <v>46300</v>
      </c>
      <c r="E8" s="12">
        <v>46312</v>
      </c>
      <c r="F8" s="4" t="inlineStr">
        <is>
          <t>A2010</t>
        </is>
      </c>
      <c r="G8" s="4"/>
      <c r="H8" s="4"/>
      <c r="I8" s="13">
        <v>0</v>
      </c>
      <c r="J8" s="14">
        <v>0</v>
      </c>
    </row>
    <row r="9">
      <c r="A9" s="4" t="inlineStr">
        <is>
          <t>A3010</t>
        </is>
      </c>
      <c r="B9" s="4" t="inlineStr">
        <is>
          <t>Plumbing pipework, level 1</t>
        </is>
      </c>
      <c r="C9" s="6">
        <v>11</v>
      </c>
      <c r="D9" s="12">
        <v>46286</v>
      </c>
      <c r="E9" s="12">
        <v>46297</v>
      </c>
      <c r="F9" s="4" t="inlineStr">
        <is>
          <t>A2010SS+6</t>
        </is>
      </c>
      <c r="G9" s="12">
        <v>46286</v>
      </c>
      <c r="H9" s="4"/>
      <c r="I9" s="13">
        <v>0.3</v>
      </c>
      <c r="J9" s="14">
        <v>12</v>
      </c>
    </row>
    <row r="10">
      <c r="A10" s="4" t="inlineStr">
        <is>
          <t>A3020</t>
        </is>
      </c>
      <c r="B10" s="4" t="inlineStr">
        <is>
          <t>Concealed wiring, level 1</t>
        </is>
      </c>
      <c r="C10" s="6">
        <v>6</v>
      </c>
      <c r="D10" s="12">
        <v>46293</v>
      </c>
      <c r="E10" s="12">
        <v>46298</v>
      </c>
      <c r="F10" s="4" t="inlineStr">
        <is>
          <t>A3010SS+6</t>
        </is>
      </c>
      <c r="G10" s="12">
        <v>46293</v>
      </c>
      <c r="H10" s="4"/>
      <c r="I10" s="13">
        <v>0.1</v>
      </c>
      <c r="J10" s="14">
        <v>12</v>
      </c>
    </row>
  </sheetData>
  <hyperlinks>
    <hyperlink ref="L1" location="'Index'!A19" display="← Index"/>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J10"/>
  <sheetViews>
    <sheetView workbookViewId="0">
      <selection activeCell="H4" sqref="H4"/>
    </sheetView>
  </sheetViews>
  <sheetFormatPr defaultRowHeight="15"/>
  <cols>
    <col min="1" max="1" width="7.00" customWidth="1"/>
    <col min="2" max="2" width="25.00" customWidth="1"/>
    <col min="3" max="3" width="8.00" customWidth="1"/>
    <col min="4" max="4" width="10.00" customWidth="1"/>
    <col min="5" max="5" width="10.00" customWidth="1"/>
    <col min="6" max="6" width="9.00" customWidth="1"/>
    <col min="7" max="7" width="13.00" customWidth="1"/>
    <col min="8" max="8" width="13.00" customWidth="1"/>
    <col min="10" max="10" width="12.00" customWidth="1"/>
  </cols>
  <sheetData>
    <row r="1">
      <c r="A1" s="1" t="inlineStr">
        <is>
          <t>CONSTRUCTION SCHEDULE — 9-STOREY OFFICE BUILDING</t>
        </is>
      </c>
      <c r="J1" s="106" t="inlineStr">
        <is>
          <t>← Index</t>
        </is>
      </c>
    </row>
    <row r="2" ht="27.00" customHeight="1">
      <c r="A2" s="2" t="inlineStr">
        <is>
          <t>Activity ID</t>
        </is>
      </c>
      <c r="B2" s="2" t="inlineStr">
        <is>
          <t>Activity Name</t>
        </is>
      </c>
      <c r="C2" s="2" t="inlineStr">
        <is>
          <t>Duration</t>
        </is>
      </c>
      <c r="D2" s="2" t="inlineStr">
        <is>
          <t>Start</t>
        </is>
      </c>
      <c r="E2" s="2" t="inlineStr">
        <is>
          <t>Finish</t>
        </is>
      </c>
      <c r="F2" s="2" t="inlineStr">
        <is>
          <t>Complete (%)</t>
        </is>
      </c>
      <c r="G2" s="2" t="inlineStr">
        <is>
          <t>BAC</t>
        </is>
      </c>
      <c r="H2" s="2" t="inlineStr">
        <is>
          <t>AC</t>
        </is>
      </c>
    </row>
    <row r="3">
      <c r="A3" s="4" t="inlineStr">
        <is>
          <t>A1010</t>
        </is>
      </c>
      <c r="B3" s="4" t="inlineStr">
        <is>
          <t>Concrete, level-3 columns</t>
        </is>
      </c>
      <c r="C3" s="6">
        <v>6</v>
      </c>
      <c r="D3" s="12">
        <v>46272</v>
      </c>
      <c r="E3" s="12">
        <v>46277</v>
      </c>
      <c r="F3" s="13">
        <v>1</v>
      </c>
      <c r="G3" s="15">
        <v>420000000</v>
      </c>
      <c r="H3" s="15">
        <v>436000000</v>
      </c>
    </row>
    <row r="4">
      <c r="A4" s="4" t="inlineStr">
        <is>
          <t>A1020</t>
        </is>
      </c>
      <c r="B4" s="4" t="inlineStr">
        <is>
          <t>Formwork &amp; rebar, level-3 slab</t>
        </is>
      </c>
      <c r="C4" s="6">
        <v>15</v>
      </c>
      <c r="D4" s="12">
        <v>46279</v>
      </c>
      <c r="E4" s="12">
        <v>46295</v>
      </c>
      <c r="F4" s="13">
        <v>0.75</v>
      </c>
      <c r="G4" s="15">
        <v>1250000000</v>
      </c>
      <c r="H4" s="15">
        <v>1010000000</v>
      </c>
    </row>
    <row r="5">
      <c r="A5" s="4" t="inlineStr">
        <is>
          <t>A1030</t>
        </is>
      </c>
      <c r="B5" s="4" t="inlineStr">
        <is>
          <t>Concrete, level-3 slab</t>
        </is>
      </c>
      <c r="C5" s="6">
        <v>2</v>
      </c>
      <c r="D5" s="12">
        <v>46296</v>
      </c>
      <c r="E5" s="12">
        <v>46297</v>
      </c>
      <c r="F5" s="13">
        <v>0</v>
      </c>
      <c r="G5" s="15">
        <v>980000000</v>
      </c>
      <c r="H5" s="4"/>
    </row>
    <row r="6">
      <c r="A6" s="4" t="inlineStr">
        <is>
          <t>A1040</t>
        </is>
      </c>
      <c r="B6" s="4" t="inlineStr">
        <is>
          <t>Column rebar &amp; forms, level 4</t>
        </is>
      </c>
      <c r="C6" s="6">
        <v>6</v>
      </c>
      <c r="D6" s="12">
        <v>46300</v>
      </c>
      <c r="E6" s="12">
        <v>46305</v>
      </c>
      <c r="F6" s="13">
        <v>0</v>
      </c>
      <c r="G6" s="15">
        <v>510000000</v>
      </c>
      <c r="H6" s="4"/>
    </row>
    <row r="7">
      <c r="A7" s="4" t="inlineStr">
        <is>
          <t>A2010</t>
        </is>
      </c>
      <c r="B7" s="4" t="inlineStr">
        <is>
          <t>Blockwork, level 1</t>
        </is>
      </c>
      <c r="C7" s="6">
        <v>18</v>
      </c>
      <c r="D7" s="12">
        <v>46279</v>
      </c>
      <c r="E7" s="12">
        <v>46298</v>
      </c>
      <c r="F7" s="13">
        <v>0.55</v>
      </c>
      <c r="G7" s="15">
        <v>640000000</v>
      </c>
      <c r="H7" s="15">
        <v>372000000</v>
      </c>
    </row>
    <row r="8">
      <c r="A8" s="4" t="inlineStr">
        <is>
          <t>A2020</t>
        </is>
      </c>
      <c r="B8" s="4" t="inlineStr">
        <is>
          <t>Blockwork, level 2</t>
        </is>
      </c>
      <c r="C8" s="6">
        <v>12</v>
      </c>
      <c r="D8" s="12">
        <v>46300</v>
      </c>
      <c r="E8" s="12">
        <v>46312</v>
      </c>
      <c r="F8" s="13">
        <v>0</v>
      </c>
      <c r="G8" s="15">
        <v>610000000</v>
      </c>
      <c r="H8" s="4"/>
    </row>
    <row r="9">
      <c r="A9" s="4" t="inlineStr">
        <is>
          <t>A3010</t>
        </is>
      </c>
      <c r="B9" s="4" t="inlineStr">
        <is>
          <t>Plumbing pipework, level 1</t>
        </is>
      </c>
      <c r="C9" s="6">
        <v>11</v>
      </c>
      <c r="D9" s="12">
        <v>46286</v>
      </c>
      <c r="E9" s="12">
        <v>46297</v>
      </c>
      <c r="F9" s="13">
        <v>0.3</v>
      </c>
      <c r="G9" s="15">
        <v>360000000</v>
      </c>
      <c r="H9" s="15">
        <v>126000000</v>
      </c>
    </row>
    <row r="10">
      <c r="A10" s="4" t="inlineStr">
        <is>
          <t>A3020</t>
        </is>
      </c>
      <c r="B10" s="4" t="inlineStr">
        <is>
          <t>Concealed wiring, level 1</t>
        </is>
      </c>
      <c r="C10" s="6">
        <v>6</v>
      </c>
      <c r="D10" s="12">
        <v>46293</v>
      </c>
      <c r="E10" s="12">
        <v>46298</v>
      </c>
      <c r="F10" s="13">
        <v>0.1</v>
      </c>
      <c r="G10" s="15">
        <v>240000000</v>
      </c>
      <c r="H10" s="15">
        <v>30000000</v>
      </c>
    </row>
  </sheetData>
  <hyperlinks>
    <hyperlink ref="J1" location="'Index'!A20" display="← Index"/>
  </hyperlink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10"/>
  <sheetViews>
    <sheetView workbookViewId="0">
      <selection activeCell="F4" sqref="F4"/>
    </sheetView>
  </sheetViews>
  <sheetFormatPr defaultRowHeight="15"/>
  <cols>
    <col min="1" max="1" width="7.00" customWidth="1"/>
    <col min="2" max="2" width="23.00" customWidth="1"/>
    <col min="3" max="3" width="8.00" customWidth="1"/>
    <col min="4" max="4" width="10.00" customWidth="1"/>
    <col min="5" max="5" width="10.00" customWidth="1"/>
    <col min="6" max="6" width="10.00" customWidth="1"/>
    <col min="7" max="7" width="10.00" customWidth="1"/>
    <col min="8" max="8" width="9.00" customWidth="1"/>
    <col min="9" max="9" width="13.00" customWidth="1"/>
    <col min="10" max="10" width="13.00" customWidth="1"/>
    <col min="12" max="12" width="12.00" customWidth="1"/>
  </cols>
  <sheetData>
    <row r="1">
      <c r="A1" s="1" t="inlineStr">
        <is>
          <t>CONSTRUCTION SCHEDULE — 9-STOREY OFFICE BUILDING</t>
        </is>
      </c>
      <c r="L1" s="106" t="inlineStr">
        <is>
          <t>← Index</t>
        </is>
      </c>
    </row>
    <row r="2" ht="39.00" customHeight="1">
      <c r="A2" s="2" t="inlineStr">
        <is>
          <t>Activity ID</t>
        </is>
      </c>
      <c r="B2" s="2" t="inlineStr">
        <is>
          <t>Activity Name</t>
        </is>
      </c>
      <c r="C2" s="2" t="inlineStr">
        <is>
          <t>Duration</t>
        </is>
      </c>
      <c r="D2" s="2" t="inlineStr">
        <is>
          <t>Start</t>
        </is>
      </c>
      <c r="E2" s="2" t="inlineStr">
        <is>
          <t>Finish</t>
        </is>
      </c>
      <c r="F2" s="2" t="inlineStr">
        <is>
          <t>Actual Start</t>
        </is>
      </c>
      <c r="G2" s="2" t="inlineStr">
        <is>
          <t>Actual Finish</t>
        </is>
      </c>
      <c r="H2" s="2" t="inlineStr">
        <is>
          <t>Complete (%)</t>
        </is>
      </c>
      <c r="I2" s="2" t="inlineStr">
        <is>
          <t>BAC</t>
        </is>
      </c>
      <c r="J2" s="2" t="inlineStr">
        <is>
          <t>AC</t>
        </is>
      </c>
    </row>
    <row r="3">
      <c r="A3" s="4" t="inlineStr">
        <is>
          <t>A1010</t>
        </is>
      </c>
      <c r="B3" s="4" t="inlineStr">
        <is>
          <t>Concrete, level-3 columns</t>
        </is>
      </c>
      <c r="C3" s="6">
        <v>6</v>
      </c>
      <c r="D3" s="12">
        <v>46272</v>
      </c>
      <c r="E3" s="12">
        <v>46277</v>
      </c>
      <c r="F3" s="12">
        <v>46272</v>
      </c>
      <c r="G3" s="12">
        <v>46277</v>
      </c>
      <c r="H3" s="13">
        <v>1</v>
      </c>
      <c r="I3" s="15">
        <v>420000000</v>
      </c>
      <c r="J3" s="15">
        <v>436000000</v>
      </c>
    </row>
    <row r="4">
      <c r="A4" s="4" t="inlineStr">
        <is>
          <t>A1020</t>
        </is>
      </c>
      <c r="B4" s="4" t="inlineStr">
        <is>
          <t>Formwork &amp; rebar, level-3 slab</t>
        </is>
      </c>
      <c r="C4" s="6">
        <v>15</v>
      </c>
      <c r="D4" s="12">
        <v>46279</v>
      </c>
      <c r="E4" s="12">
        <v>46295</v>
      </c>
      <c r="F4" s="12">
        <v>46279</v>
      </c>
      <c r="G4" s="4"/>
      <c r="H4" s="13">
        <v>0.75</v>
      </c>
      <c r="I4" s="15">
        <v>1250000000</v>
      </c>
      <c r="J4" s="15">
        <v>1010000000</v>
      </c>
    </row>
    <row r="5">
      <c r="A5" s="4" t="inlineStr">
        <is>
          <t>A1030</t>
        </is>
      </c>
      <c r="B5" s="4" t="inlineStr">
        <is>
          <t>Concrete, level-3 slab</t>
        </is>
      </c>
      <c r="C5" s="6">
        <v>2</v>
      </c>
      <c r="D5" s="12">
        <v>46296</v>
      </c>
      <c r="E5" s="12">
        <v>46297</v>
      </c>
      <c r="F5" s="4"/>
      <c r="G5" s="4"/>
      <c r="H5" s="13">
        <v>0</v>
      </c>
      <c r="I5" s="15">
        <v>980000000</v>
      </c>
      <c r="J5" s="4"/>
    </row>
    <row r="6">
      <c r="A6" s="4" t="inlineStr">
        <is>
          <t>A1040</t>
        </is>
      </c>
      <c r="B6" s="4" t="inlineStr">
        <is>
          <t>Column rebar &amp; forms, level 4</t>
        </is>
      </c>
      <c r="C6" s="6">
        <v>6</v>
      </c>
      <c r="D6" s="12">
        <v>46300</v>
      </c>
      <c r="E6" s="12">
        <v>46305</v>
      </c>
      <c r="F6" s="4"/>
      <c r="G6" s="4"/>
      <c r="H6" s="13">
        <v>0</v>
      </c>
      <c r="I6" s="15">
        <v>510000000</v>
      </c>
      <c r="J6" s="4"/>
    </row>
    <row r="7">
      <c r="A7" s="4" t="inlineStr">
        <is>
          <t>A2010</t>
        </is>
      </c>
      <c r="B7" s="4" t="inlineStr">
        <is>
          <t>Blockwork, level 1</t>
        </is>
      </c>
      <c r="C7" s="6">
        <v>18</v>
      </c>
      <c r="D7" s="12">
        <v>46279</v>
      </c>
      <c r="E7" s="12">
        <v>46298</v>
      </c>
      <c r="F7" s="12">
        <v>46279</v>
      </c>
      <c r="G7" s="4"/>
      <c r="H7" s="13">
        <v>0.55</v>
      </c>
      <c r="I7" s="15">
        <v>640000000</v>
      </c>
      <c r="J7" s="15">
        <v>372000000</v>
      </c>
    </row>
    <row r="8">
      <c r="A8" s="4" t="inlineStr">
        <is>
          <t>A2020</t>
        </is>
      </c>
      <c r="B8" s="4" t="inlineStr">
        <is>
          <t>Blockwork, level 2</t>
        </is>
      </c>
      <c r="C8" s="6">
        <v>12</v>
      </c>
      <c r="D8" s="12">
        <v>46300</v>
      </c>
      <c r="E8" s="12">
        <v>46312</v>
      </c>
      <c r="F8" s="4"/>
      <c r="G8" s="4"/>
      <c r="H8" s="13">
        <v>0</v>
      </c>
      <c r="I8" s="15">
        <v>610000000</v>
      </c>
      <c r="J8" s="4"/>
    </row>
    <row r="9">
      <c r="A9" s="4" t="inlineStr">
        <is>
          <t>A3010</t>
        </is>
      </c>
      <c r="B9" s="4" t="inlineStr">
        <is>
          <t>Plumbing pipework, level 1</t>
        </is>
      </c>
      <c r="C9" s="6">
        <v>11</v>
      </c>
      <c r="D9" s="12">
        <v>46286</v>
      </c>
      <c r="E9" s="12">
        <v>46297</v>
      </c>
      <c r="F9" s="12">
        <v>46286</v>
      </c>
      <c r="G9" s="4"/>
      <c r="H9" s="13">
        <v>0.3</v>
      </c>
      <c r="I9" s="15">
        <v>360000000</v>
      </c>
      <c r="J9" s="15">
        <v>126000000</v>
      </c>
    </row>
    <row r="10">
      <c r="A10" s="4" t="inlineStr">
        <is>
          <t>A3020</t>
        </is>
      </c>
      <c r="B10" s="4" t="inlineStr">
        <is>
          <t>Concealed wiring, level 1</t>
        </is>
      </c>
      <c r="C10" s="6">
        <v>6</v>
      </c>
      <c r="D10" s="12">
        <v>46293</v>
      </c>
      <c r="E10" s="12">
        <v>46298</v>
      </c>
      <c r="F10" s="12">
        <v>46293</v>
      </c>
      <c r="G10" s="4"/>
      <c r="H10" s="13">
        <v>0.1</v>
      </c>
      <c r="I10" s="15">
        <v>240000000</v>
      </c>
      <c r="J10" s="15">
        <v>30000000</v>
      </c>
    </row>
  </sheetData>
  <hyperlinks>
    <hyperlink ref="L1" location="'Index'!A21" display="← Index"/>
  </hyperlink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11"/>
  <sheetViews>
    <sheetView workbookViewId="0">
      <selection activeCell="F9" sqref="F9"/>
    </sheetView>
  </sheetViews>
  <sheetFormatPr defaultRowHeight="15"/>
  <cols>
    <col min="1" max="1" width="7.00" customWidth="1"/>
    <col min="2" max="2" width="25.00" customWidth="1"/>
    <col min="3" max="3" width="8.00" customWidth="1"/>
    <col min="4" max="4" width="10.00" customWidth="1"/>
    <col min="5" max="5" width="10.00" customWidth="1"/>
    <col min="6" max="6" width="10.00" customWidth="1"/>
    <col min="7" max="7" width="10.00" customWidth="1"/>
    <col min="8" max="8" width="9.00" customWidth="1"/>
    <col min="10" max="10" width="12.00" customWidth="1"/>
  </cols>
  <sheetData>
    <row r="1">
      <c r="A1" s="1" t="inlineStr">
        <is>
          <t>CONSTRUCTION SCHEDULE — 9-STOREY OFFICE BUILDING</t>
        </is>
      </c>
      <c r="J1" s="106" t="inlineStr">
        <is>
          <t>← Index</t>
        </is>
      </c>
    </row>
    <row r="2" ht="27.00" customHeight="1">
      <c r="A2" s="2" t="inlineStr">
        <is>
          <t>Activity ID</t>
        </is>
      </c>
      <c r="B2" s="2" t="inlineStr">
        <is>
          <t>Activity Name</t>
        </is>
      </c>
      <c r="C2" s="2" t="inlineStr">
        <is>
          <t>Duration</t>
        </is>
      </c>
      <c r="D2" s="2" t="inlineStr">
        <is>
          <t>Start</t>
        </is>
      </c>
      <c r="E2" s="2" t="inlineStr">
        <is>
          <t>Finish</t>
        </is>
      </c>
      <c r="F2" s="2" t="inlineStr">
        <is>
          <t>Actual Start</t>
        </is>
      </c>
      <c r="G2" s="2" t="inlineStr">
        <is>
          <t>Actual Finish</t>
        </is>
      </c>
      <c r="H2" s="2" t="inlineStr">
        <is>
          <t>Complete (%)</t>
        </is>
      </c>
    </row>
    <row r="3">
      <c r="A3" s="4" t="inlineStr">
        <is>
          <t>A1010</t>
        </is>
      </c>
      <c r="B3" s="4" t="inlineStr">
        <is>
          <t>Concrete, level-3 columns</t>
        </is>
      </c>
      <c r="C3" s="6">
        <v>6</v>
      </c>
      <c r="D3" s="12">
        <v>46272</v>
      </c>
      <c r="E3" s="12">
        <v>46277</v>
      </c>
      <c r="F3" s="12">
        <v>46272</v>
      </c>
      <c r="G3" s="12">
        <v>46277</v>
      </c>
      <c r="H3" s="13">
        <v>1</v>
      </c>
    </row>
    <row r="4">
      <c r="A4" s="4" t="inlineStr">
        <is>
          <t>A1020</t>
        </is>
      </c>
      <c r="B4" s="4" t="inlineStr">
        <is>
          <t>Formwork &amp; rebar, level-3 slab</t>
        </is>
      </c>
      <c r="C4" s="6">
        <v>15</v>
      </c>
      <c r="D4" s="12">
        <v>46279</v>
      </c>
      <c r="E4" s="12">
        <v>46295</v>
      </c>
      <c r="F4" s="12">
        <v>46279</v>
      </c>
      <c r="G4" s="4"/>
      <c r="H4" s="13">
        <v>0.75</v>
      </c>
    </row>
    <row r="5">
      <c r="A5" s="4" t="inlineStr">
        <is>
          <t>A1030</t>
        </is>
      </c>
      <c r="B5" s="4" t="inlineStr">
        <is>
          <t>Concrete, level-3 slab</t>
        </is>
      </c>
      <c r="C5" s="6">
        <v>2</v>
      </c>
      <c r="D5" s="12">
        <v>46296</v>
      </c>
      <c r="E5" s="12">
        <v>46297</v>
      </c>
      <c r="F5" s="4"/>
      <c r="G5" s="4"/>
      <c r="H5" s="13">
        <v>0</v>
      </c>
    </row>
    <row r="6">
      <c r="A6" s="4" t="inlineStr">
        <is>
          <t>A1040</t>
        </is>
      </c>
      <c r="B6" s="4" t="inlineStr">
        <is>
          <t>Column rebar &amp; forms, level 4</t>
        </is>
      </c>
      <c r="C6" s="6">
        <v>6</v>
      </c>
      <c r="D6" s="12">
        <v>46300</v>
      </c>
      <c r="E6" s="12">
        <v>46305</v>
      </c>
      <c r="F6" s="4"/>
      <c r="G6" s="4"/>
      <c r="H6" s="13">
        <v>0</v>
      </c>
    </row>
    <row r="7">
      <c r="A7" s="4" t="inlineStr">
        <is>
          <t>A2010</t>
        </is>
      </c>
      <c r="B7" s="4" t="inlineStr">
        <is>
          <t>Blockwork, level 1</t>
        </is>
      </c>
      <c r="C7" s="6">
        <v>18</v>
      </c>
      <c r="D7" s="12">
        <v>46279</v>
      </c>
      <c r="E7" s="12">
        <v>46298</v>
      </c>
      <c r="F7" s="12">
        <v>46279</v>
      </c>
      <c r="G7" s="4"/>
      <c r="H7" s="13">
        <v>0.55</v>
      </c>
    </row>
    <row r="8">
      <c r="A8" s="4" t="inlineStr">
        <is>
          <t>A2020</t>
        </is>
      </c>
      <c r="B8" s="4" t="inlineStr">
        <is>
          <t>Blockwork, level 2</t>
        </is>
      </c>
      <c r="C8" s="6">
        <v>12</v>
      </c>
      <c r="D8" s="12">
        <v>46300</v>
      </c>
      <c r="E8" s="12">
        <v>46312</v>
      </c>
      <c r="F8" s="4"/>
      <c r="G8" s="4"/>
      <c r="H8" s="13">
        <v>0</v>
      </c>
    </row>
    <row r="9">
      <c r="A9" s="4" t="inlineStr">
        <is>
          <t>A3005</t>
        </is>
      </c>
      <c r="B9" s="4" t="inlineStr">
        <is>
          <t>M&amp;E sleeves, level-2 slab</t>
        </is>
      </c>
      <c r="C9" s="6">
        <v>8</v>
      </c>
      <c r="D9" s="12">
        <v>46275</v>
      </c>
      <c r="E9" s="12">
        <v>46283</v>
      </c>
      <c r="F9" s="12">
        <v>46275</v>
      </c>
      <c r="G9" s="4"/>
      <c r="H9" s="13">
        <v>0.8</v>
      </c>
    </row>
    <row r="10">
      <c r="A10" s="4" t="inlineStr">
        <is>
          <t>A3010</t>
        </is>
      </c>
      <c r="B10" s="4" t="inlineStr">
        <is>
          <t>Plumbing pipework, level 1</t>
        </is>
      </c>
      <c r="C10" s="6">
        <v>11</v>
      </c>
      <c r="D10" s="12">
        <v>46286</v>
      </c>
      <c r="E10" s="12">
        <v>46297</v>
      </c>
      <c r="F10" s="12">
        <v>46286</v>
      </c>
      <c r="G10" s="4"/>
      <c r="H10" s="13">
        <v>0.3</v>
      </c>
    </row>
    <row r="11">
      <c r="A11" s="4" t="inlineStr">
        <is>
          <t>A3020</t>
        </is>
      </c>
      <c r="B11" s="4" t="inlineStr">
        <is>
          <t>Concealed wiring, level 1</t>
        </is>
      </c>
      <c r="C11" s="6">
        <v>6</v>
      </c>
      <c r="D11" s="12">
        <v>46293</v>
      </c>
      <c r="E11" s="12">
        <v>46298</v>
      </c>
      <c r="F11" s="12">
        <v>46293</v>
      </c>
      <c r="G11" s="4"/>
      <c r="H11" s="13">
        <v>0.1</v>
      </c>
    </row>
  </sheetData>
  <hyperlinks>
    <hyperlink ref="J1" location="'Index'!A22" display="← Index"/>
  </hyperlink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J11"/>
  <sheetViews>
    <sheetView workbookViewId="0">
      <selection activeCell="F9" sqref="F9"/>
    </sheetView>
  </sheetViews>
  <sheetFormatPr defaultRowHeight="15"/>
  <cols>
    <col min="1" max="1" width="7.00" customWidth="1"/>
    <col min="2" max="2" width="25.00" customWidth="1"/>
    <col min="3" max="3" width="8.00" customWidth="1"/>
    <col min="4" max="4" width="10.00" customWidth="1"/>
    <col min="5" max="5" width="10.00" customWidth="1"/>
    <col min="6" max="6" width="10.00" customWidth="1"/>
    <col min="7" max="7" width="10.00" customWidth="1"/>
    <col min="8" max="8" width="9.00" customWidth="1"/>
    <col min="10" max="10" width="12.00" customWidth="1"/>
  </cols>
  <sheetData>
    <row r="1">
      <c r="A1" s="1" t="inlineStr">
        <is>
          <t>CONSTRUCTION SCHEDULE — 9-STOREY OFFICE BUILDING</t>
        </is>
      </c>
      <c r="J1" s="106" t="inlineStr">
        <is>
          <t>← Index</t>
        </is>
      </c>
    </row>
    <row r="2" ht="27.00" customHeight="1">
      <c r="A2" s="2" t="inlineStr">
        <is>
          <t>Activity ID</t>
        </is>
      </c>
      <c r="B2" s="2" t="inlineStr">
        <is>
          <t>Activity Name</t>
        </is>
      </c>
      <c r="C2" s="2" t="inlineStr">
        <is>
          <t>Duration</t>
        </is>
      </c>
      <c r="D2" s="2" t="inlineStr">
        <is>
          <t>Start</t>
        </is>
      </c>
      <c r="E2" s="2" t="inlineStr">
        <is>
          <t>Finish</t>
        </is>
      </c>
      <c r="F2" s="2" t="inlineStr">
        <is>
          <t>Actual Start</t>
        </is>
      </c>
      <c r="G2" s="2" t="inlineStr">
        <is>
          <t>Actual Finish</t>
        </is>
      </c>
      <c r="H2" s="2" t="inlineStr">
        <is>
          <t>Complete (%)</t>
        </is>
      </c>
    </row>
    <row r="3">
      <c r="A3" s="4" t="inlineStr">
        <is>
          <t>A1010</t>
        </is>
      </c>
      <c r="B3" s="4" t="inlineStr">
        <is>
          <t>Concrete, level-3 columns</t>
        </is>
      </c>
      <c r="C3" s="6">
        <v>6</v>
      </c>
      <c r="D3" s="12">
        <v>46272</v>
      </c>
      <c r="E3" s="12">
        <v>46277</v>
      </c>
      <c r="F3" s="12">
        <v>46272</v>
      </c>
      <c r="G3" s="12">
        <v>46277</v>
      </c>
      <c r="H3" s="13">
        <v>1</v>
      </c>
    </row>
    <row r="4">
      <c r="A4" s="4" t="inlineStr">
        <is>
          <t>A1020</t>
        </is>
      </c>
      <c r="B4" s="4" t="inlineStr">
        <is>
          <t>Formwork &amp; rebar, level-3 slab</t>
        </is>
      </c>
      <c r="C4" s="6">
        <v>15</v>
      </c>
      <c r="D4" s="12">
        <v>46279</v>
      </c>
      <c r="E4" s="12">
        <v>46295</v>
      </c>
      <c r="F4" s="12">
        <v>46279</v>
      </c>
      <c r="G4" s="4"/>
      <c r="H4" s="13">
        <v>0.75</v>
      </c>
    </row>
    <row r="5">
      <c r="A5" s="4" t="inlineStr">
        <is>
          <t>A1030</t>
        </is>
      </c>
      <c r="B5" s="4" t="inlineStr">
        <is>
          <t>Concrete, level-3 slab</t>
        </is>
      </c>
      <c r="C5" s="6">
        <v>2</v>
      </c>
      <c r="D5" s="12">
        <v>46296</v>
      </c>
      <c r="E5" s="12">
        <v>46297</v>
      </c>
      <c r="F5" s="4"/>
      <c r="G5" s="4"/>
      <c r="H5" s="13">
        <v>0</v>
      </c>
    </row>
    <row r="6">
      <c r="A6" s="4" t="inlineStr">
        <is>
          <t>A1040</t>
        </is>
      </c>
      <c r="B6" s="4" t="inlineStr">
        <is>
          <t>Column rebar &amp; forms, level 4</t>
        </is>
      </c>
      <c r="C6" s="6">
        <v>6</v>
      </c>
      <c r="D6" s="12">
        <v>46300</v>
      </c>
      <c r="E6" s="12">
        <v>46305</v>
      </c>
      <c r="F6" s="4"/>
      <c r="G6" s="4"/>
      <c r="H6" s="13">
        <v>0</v>
      </c>
    </row>
    <row r="7">
      <c r="A7" s="4" t="inlineStr">
        <is>
          <t>A2010</t>
        </is>
      </c>
      <c r="B7" s="4" t="inlineStr">
        <is>
          <t>Blockwork, level 1</t>
        </is>
      </c>
      <c r="C7" s="6">
        <v>18</v>
      </c>
      <c r="D7" s="12">
        <v>46279</v>
      </c>
      <c r="E7" s="12">
        <v>46298</v>
      </c>
      <c r="F7" s="12">
        <v>46279</v>
      </c>
      <c r="G7" s="4"/>
      <c r="H7" s="13">
        <v>0.55</v>
      </c>
    </row>
    <row r="8">
      <c r="A8" s="4" t="inlineStr">
        <is>
          <t>A2020</t>
        </is>
      </c>
      <c r="B8" s="4" t="inlineStr">
        <is>
          <t>Blockwork, level 2</t>
        </is>
      </c>
      <c r="C8" s="6">
        <v>12</v>
      </c>
      <c r="D8" s="12">
        <v>46300</v>
      </c>
      <c r="E8" s="12">
        <v>46312</v>
      </c>
      <c r="F8" s="4"/>
      <c r="G8" s="4"/>
      <c r="H8" s="13">
        <v>0</v>
      </c>
    </row>
    <row r="9">
      <c r="A9" s="4" t="inlineStr">
        <is>
          <t>A3005</t>
        </is>
      </c>
      <c r="B9" s="4" t="inlineStr">
        <is>
          <t>M&amp;E sleeves, level-2 slab</t>
        </is>
      </c>
      <c r="C9" s="6">
        <v>8</v>
      </c>
      <c r="D9" s="12">
        <v>46275</v>
      </c>
      <c r="E9" s="12">
        <v>46283</v>
      </c>
      <c r="F9" s="12">
        <v>46275</v>
      </c>
      <c r="G9" s="4"/>
      <c r="H9" s="13">
        <v>0.8</v>
      </c>
    </row>
    <row r="10">
      <c r="A10" s="4" t="inlineStr">
        <is>
          <t>A3010</t>
        </is>
      </c>
      <c r="B10" s="4" t="inlineStr">
        <is>
          <t>Plumbing pipework, level 1</t>
        </is>
      </c>
      <c r="C10" s="6">
        <v>11</v>
      </c>
      <c r="D10" s="12">
        <v>46286</v>
      </c>
      <c r="E10" s="12">
        <v>46297</v>
      </c>
      <c r="F10" s="12">
        <v>46286</v>
      </c>
      <c r="G10" s="4"/>
      <c r="H10" s="13">
        <v>0.3</v>
      </c>
    </row>
    <row r="11">
      <c r="A11" s="4" t="inlineStr">
        <is>
          <t>A3020</t>
        </is>
      </c>
      <c r="B11" s="4" t="inlineStr">
        <is>
          <t>Concealed wiring, level 1</t>
        </is>
      </c>
      <c r="C11" s="6">
        <v>6</v>
      </c>
      <c r="D11" s="12">
        <v>46293</v>
      </c>
      <c r="E11" s="12">
        <v>46298</v>
      </c>
      <c r="F11" s="12">
        <v>46293</v>
      </c>
      <c r="G11" s="4"/>
      <c r="H11" s="13">
        <v>0.1</v>
      </c>
    </row>
  </sheetData>
  <hyperlinks>
    <hyperlink ref="J1" location="'Index'!A23" display="← Index"/>
  </hyperlink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H10"/>
  <sheetViews>
    <sheetView workbookViewId="0">
      <selection activeCell="A3" sqref="A3"/>
    </sheetView>
  </sheetViews>
  <sheetFormatPr defaultRowHeight="15"/>
  <cols>
    <col min="1" max="1" width="7.00" customWidth="1"/>
    <col min="2" max="2" width="25.00" customWidth="1"/>
    <col min="3" max="3" width="8.00" customWidth="1"/>
    <col min="4" max="4" width="10.00" customWidth="1"/>
    <col min="5" max="5" width="10.00" customWidth="1"/>
    <col min="6" max="6" width="11.00" customWidth="1"/>
    <col min="8" max="8" width="12.00" customWidth="1"/>
  </cols>
  <sheetData>
    <row r="1">
      <c r="A1" s="1" t="inlineStr">
        <is>
          <t>CONSTRUCTION SCHEDULE — 9-STOREY OFFICE BUILDING</t>
        </is>
      </c>
      <c r="H1" s="106" t="inlineStr">
        <is>
          <t>← Index</t>
        </is>
      </c>
    </row>
    <row r="2" ht="27.00" customHeight="1">
      <c r="A2" s="2" t="inlineStr">
        <is>
          <t>Activity ID</t>
        </is>
      </c>
      <c r="B2" s="2" t="inlineStr">
        <is>
          <t>Activity Name</t>
        </is>
      </c>
      <c r="C2" s="2" t="inlineStr">
        <is>
          <t>Duration</t>
        </is>
      </c>
      <c r="D2" s="2" t="inlineStr">
        <is>
          <t>Start</t>
        </is>
      </c>
      <c r="E2" s="2" t="inlineStr">
        <is>
          <t>Finish</t>
        </is>
      </c>
      <c r="F2" s="2" t="inlineStr">
        <is>
          <t>Predecessors</t>
        </is>
      </c>
    </row>
    <row r="3">
      <c r="A3" s="4" t="inlineStr">
        <is>
          <t>A1010</t>
        </is>
      </c>
      <c r="B3" s="4" t="inlineStr">
        <is>
          <t>Concrete, level-3 columns</t>
        </is>
      </c>
      <c r="C3" s="6">
        <v>6</v>
      </c>
      <c r="D3" s="12">
        <v>46272</v>
      </c>
      <c r="E3" s="12">
        <v>46277</v>
      </c>
      <c r="F3" s="4"/>
    </row>
    <row r="4">
      <c r="A4" s="4" t="inlineStr">
        <is>
          <t>A1020</t>
        </is>
      </c>
      <c r="B4" s="4" t="inlineStr">
        <is>
          <t>Formwork &amp; rebar, level-3 slab</t>
        </is>
      </c>
      <c r="C4" s="6">
        <v>15</v>
      </c>
      <c r="D4" s="12">
        <v>46279</v>
      </c>
      <c r="E4" s="12">
        <v>46295</v>
      </c>
      <c r="F4" s="4" t="inlineStr">
        <is>
          <t>A1010</t>
        </is>
      </c>
    </row>
    <row r="5">
      <c r="A5" s="4" t="inlineStr">
        <is>
          <t>A1030</t>
        </is>
      </c>
      <c r="B5" s="4" t="inlineStr">
        <is>
          <t>Concrete, level-3 slab</t>
        </is>
      </c>
      <c r="C5" s="6">
        <v>2</v>
      </c>
      <c r="D5" s="12">
        <v>46296</v>
      </c>
      <c r="E5" s="12">
        <v>46297</v>
      </c>
      <c r="F5" s="4" t="inlineStr">
        <is>
          <t>A1020</t>
        </is>
      </c>
    </row>
    <row r="6">
      <c r="A6" s="4" t="inlineStr">
        <is>
          <t>A1040</t>
        </is>
      </c>
      <c r="B6" s="4" t="inlineStr">
        <is>
          <t>Column rebar &amp; forms, level 4</t>
        </is>
      </c>
      <c r="C6" s="6">
        <v>6</v>
      </c>
      <c r="D6" s="12">
        <v>46300</v>
      </c>
      <c r="E6" s="12">
        <v>46305</v>
      </c>
      <c r="F6" s="4" t="inlineStr">
        <is>
          <t>A1030FS+2</t>
        </is>
      </c>
    </row>
    <row r="7">
      <c r="A7" s="4" t="inlineStr">
        <is>
          <t>A2010</t>
        </is>
      </c>
      <c r="B7" s="4" t="inlineStr">
        <is>
          <t>Blockwork, level 1</t>
        </is>
      </c>
      <c r="C7" s="6">
        <v>18</v>
      </c>
      <c r="D7" s="12">
        <v>46279</v>
      </c>
      <c r="E7" s="12">
        <v>46298</v>
      </c>
      <c r="F7" s="4" t="inlineStr">
        <is>
          <t>A1010</t>
        </is>
      </c>
    </row>
    <row r="8">
      <c r="A8" s="4" t="inlineStr">
        <is>
          <t>A2020</t>
        </is>
      </c>
      <c r="B8" s="4" t="inlineStr">
        <is>
          <t>Blockwork, level 2</t>
        </is>
      </c>
      <c r="C8" s="6">
        <v>12</v>
      </c>
      <c r="D8" s="12">
        <v>46300</v>
      </c>
      <c r="E8" s="12">
        <v>46312</v>
      </c>
      <c r="F8" s="4" t="inlineStr">
        <is>
          <t>A2010</t>
        </is>
      </c>
    </row>
    <row r="9">
      <c r="A9" s="4" t="inlineStr">
        <is>
          <t>A3010</t>
        </is>
      </c>
      <c r="B9" s="4" t="inlineStr">
        <is>
          <t>Plumbing pipework, level 1</t>
        </is>
      </c>
      <c r="C9" s="6">
        <v>11</v>
      </c>
      <c r="D9" s="12">
        <v>46286</v>
      </c>
      <c r="E9" s="12">
        <v>46297</v>
      </c>
      <c r="F9" s="4" t="inlineStr">
        <is>
          <t>A2010SS+6</t>
        </is>
      </c>
    </row>
    <row r="10">
      <c r="A10" s="4" t="inlineStr">
        <is>
          <t>A3020</t>
        </is>
      </c>
      <c r="B10" s="4" t="inlineStr">
        <is>
          <t>Concealed wiring, level 1</t>
        </is>
      </c>
      <c r="C10" s="6">
        <v>6</v>
      </c>
      <c r="D10" s="12">
        <v>46293</v>
      </c>
      <c r="E10" s="12">
        <v>46298</v>
      </c>
      <c r="F10" s="4" t="inlineStr">
        <is>
          <t>A3010SS+6</t>
        </is>
      </c>
    </row>
  </sheetData>
  <hyperlinks>
    <hyperlink ref="H1" location="'Index'!A24" display="← Index"/>
  </hyperlink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J10"/>
  <sheetViews>
    <sheetView workbookViewId="0">
      <selection activeCell="H4" sqref="H4"/>
    </sheetView>
  </sheetViews>
  <sheetFormatPr defaultRowHeight="15"/>
  <cols>
    <col min="1" max="1" width="7.00" customWidth="1"/>
    <col min="2" max="2" width="25.00" customWidth="1"/>
    <col min="3" max="3" width="8.00" customWidth="1"/>
    <col min="4" max="4" width="10.00" customWidth="1"/>
    <col min="5" max="5" width="10.00" customWidth="1"/>
    <col min="6" max="6" width="9.00" customWidth="1"/>
    <col min="7" max="7" width="13.00" customWidth="1"/>
    <col min="8" max="8" width="13.00" customWidth="1"/>
    <col min="10" max="10" width="12.00" customWidth="1"/>
  </cols>
  <sheetData>
    <row r="1">
      <c r="A1" s="1" t="inlineStr">
        <is>
          <t>CONSTRUCTION SCHEDULE — 9-STOREY OFFICE BUILDING</t>
        </is>
      </c>
      <c r="J1" s="106" t="inlineStr">
        <is>
          <t>← Index</t>
        </is>
      </c>
    </row>
    <row r="2" ht="27.00" customHeight="1">
      <c r="A2" s="2" t="inlineStr">
        <is>
          <t>Activity ID</t>
        </is>
      </c>
      <c r="B2" s="2" t="inlineStr">
        <is>
          <t>Activity Name</t>
        </is>
      </c>
      <c r="C2" s="2" t="inlineStr">
        <is>
          <t>Duration</t>
        </is>
      </c>
      <c r="D2" s="2" t="inlineStr">
        <is>
          <t>Start</t>
        </is>
      </c>
      <c r="E2" s="2" t="inlineStr">
        <is>
          <t>Finish</t>
        </is>
      </c>
      <c r="F2" s="2" t="inlineStr">
        <is>
          <t>Complete (%)</t>
        </is>
      </c>
      <c r="G2" s="2" t="inlineStr">
        <is>
          <t>BAC</t>
        </is>
      </c>
      <c r="H2" s="2" t="inlineStr">
        <is>
          <t>AC</t>
        </is>
      </c>
    </row>
    <row r="3">
      <c r="A3" s="4" t="inlineStr">
        <is>
          <t>A1010</t>
        </is>
      </c>
      <c r="B3" s="4" t="inlineStr">
        <is>
          <t>Concrete, level-3 columns</t>
        </is>
      </c>
      <c r="C3" s="6">
        <v>6</v>
      </c>
      <c r="D3" s="12">
        <v>46272</v>
      </c>
      <c r="E3" s="12">
        <v>46277</v>
      </c>
      <c r="F3" s="13">
        <v>1</v>
      </c>
      <c r="G3" s="15">
        <v>420000000</v>
      </c>
      <c r="H3" s="15">
        <v>436000000</v>
      </c>
    </row>
    <row r="4">
      <c r="A4" s="4" t="inlineStr">
        <is>
          <t>A1020</t>
        </is>
      </c>
      <c r="B4" s="4" t="inlineStr">
        <is>
          <t>Formwork &amp; rebar, level-3 slab</t>
        </is>
      </c>
      <c r="C4" s="6">
        <v>15</v>
      </c>
      <c r="D4" s="12">
        <v>46279</v>
      </c>
      <c r="E4" s="12">
        <v>46295</v>
      </c>
      <c r="F4" s="13">
        <v>0.75</v>
      </c>
      <c r="G4" s="15">
        <v>1250000000</v>
      </c>
      <c r="H4" s="15">
        <v>1010000000</v>
      </c>
    </row>
    <row r="5">
      <c r="A5" s="4" t="inlineStr">
        <is>
          <t>A1030</t>
        </is>
      </c>
      <c r="B5" s="4" t="inlineStr">
        <is>
          <t>Concrete, level-3 slab</t>
        </is>
      </c>
      <c r="C5" s="6">
        <v>2</v>
      </c>
      <c r="D5" s="12">
        <v>46296</v>
      </c>
      <c r="E5" s="12">
        <v>46297</v>
      </c>
      <c r="F5" s="13">
        <v>0</v>
      </c>
      <c r="G5" s="15">
        <v>980000000</v>
      </c>
      <c r="H5" s="4"/>
    </row>
    <row r="6">
      <c r="A6" s="4" t="inlineStr">
        <is>
          <t>A1040</t>
        </is>
      </c>
      <c r="B6" s="4" t="inlineStr">
        <is>
          <t>Column rebar &amp; forms, level 4</t>
        </is>
      </c>
      <c r="C6" s="6">
        <v>6</v>
      </c>
      <c r="D6" s="12">
        <v>46300</v>
      </c>
      <c r="E6" s="12">
        <v>46305</v>
      </c>
      <c r="F6" s="13">
        <v>0</v>
      </c>
      <c r="G6" s="15">
        <v>510000000</v>
      </c>
      <c r="H6" s="4"/>
    </row>
    <row r="7">
      <c r="A7" s="4" t="inlineStr">
        <is>
          <t>A2010</t>
        </is>
      </c>
      <c r="B7" s="4" t="inlineStr">
        <is>
          <t>Blockwork, level 1</t>
        </is>
      </c>
      <c r="C7" s="6">
        <v>18</v>
      </c>
      <c r="D7" s="12">
        <v>46279</v>
      </c>
      <c r="E7" s="12">
        <v>46298</v>
      </c>
      <c r="F7" s="13">
        <v>0.55</v>
      </c>
      <c r="G7" s="15">
        <v>640000000</v>
      </c>
      <c r="H7" s="15">
        <v>372000000</v>
      </c>
    </row>
    <row r="8">
      <c r="A8" s="4" t="inlineStr">
        <is>
          <t>A2020</t>
        </is>
      </c>
      <c r="B8" s="4" t="inlineStr">
        <is>
          <t>Blockwork, level 2</t>
        </is>
      </c>
      <c r="C8" s="6">
        <v>12</v>
      </c>
      <c r="D8" s="12">
        <v>46300</v>
      </c>
      <c r="E8" s="12">
        <v>46312</v>
      </c>
      <c r="F8" s="13">
        <v>0</v>
      </c>
      <c r="G8" s="15">
        <v>610000000</v>
      </c>
      <c r="H8" s="4"/>
    </row>
    <row r="9">
      <c r="A9" s="4" t="inlineStr">
        <is>
          <t>A3010</t>
        </is>
      </c>
      <c r="B9" s="4" t="inlineStr">
        <is>
          <t>Plumbing pipework, level 1</t>
        </is>
      </c>
      <c r="C9" s="6">
        <v>11</v>
      </c>
      <c r="D9" s="12">
        <v>46286</v>
      </c>
      <c r="E9" s="12">
        <v>46297</v>
      </c>
      <c r="F9" s="13">
        <v>0.3</v>
      </c>
      <c r="G9" s="15">
        <v>360000000</v>
      </c>
      <c r="H9" s="15">
        <v>126000000</v>
      </c>
    </row>
    <row r="10">
      <c r="A10" s="4" t="inlineStr">
        <is>
          <t>A3020</t>
        </is>
      </c>
      <c r="B10" s="4" t="inlineStr">
        <is>
          <t>Concealed wiring, level 1</t>
        </is>
      </c>
      <c r="C10" s="6">
        <v>6</v>
      </c>
      <c r="D10" s="12">
        <v>46293</v>
      </c>
      <c r="E10" s="12">
        <v>46298</v>
      </c>
      <c r="F10" s="13">
        <v>0.1</v>
      </c>
      <c r="G10" s="15">
        <v>240000000</v>
      </c>
      <c r="H10" s="15">
        <v>30000000</v>
      </c>
    </row>
  </sheetData>
  <hyperlinks>
    <hyperlink ref="J1" location="'Index'!A26" display="← Index"/>
  </hyperlink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H10"/>
  <sheetViews>
    <sheetView workbookViewId="0">
      <selection activeCell="F4" sqref="F4"/>
    </sheetView>
  </sheetViews>
  <sheetFormatPr defaultRowHeight="15"/>
  <cols>
    <col min="1" max="1" width="7.00" customWidth="1"/>
    <col min="2" max="2" width="25.00" customWidth="1"/>
    <col min="3" max="3" width="8.00" customWidth="1"/>
    <col min="4" max="4" width="10.00" customWidth="1"/>
    <col min="5" max="5" width="10.00" customWidth="1"/>
    <col min="6" max="6" width="9.00" customWidth="1"/>
    <col min="8" max="8" width="12.00" customWidth="1"/>
  </cols>
  <sheetData>
    <row r="1">
      <c r="A1" s="1" t="inlineStr">
        <is>
          <t>CONSTRUCTION SCHEDULE — 9-STOREY OFFICE BUILDING</t>
        </is>
      </c>
      <c r="H1" s="106" t="inlineStr">
        <is>
          <t>← Index</t>
        </is>
      </c>
    </row>
    <row r="2" ht="27.00" customHeight="1">
      <c r="A2" s="2" t="inlineStr">
        <is>
          <t>Activity ID</t>
        </is>
      </c>
      <c r="B2" s="2" t="inlineStr">
        <is>
          <t>Activity Name</t>
        </is>
      </c>
      <c r="C2" s="2" t="inlineStr">
        <is>
          <t>Duration</t>
        </is>
      </c>
      <c r="D2" s="2" t="inlineStr">
        <is>
          <t>Start</t>
        </is>
      </c>
      <c r="E2" s="2" t="inlineStr">
        <is>
          <t>Finish</t>
        </is>
      </c>
      <c r="F2" s="2" t="inlineStr">
        <is>
          <t>Manpower</t>
        </is>
      </c>
    </row>
    <row r="3">
      <c r="A3" s="4" t="inlineStr">
        <is>
          <t>A1010</t>
        </is>
      </c>
      <c r="B3" s="4" t="inlineStr">
        <is>
          <t>Concrete, level-3 columns</t>
        </is>
      </c>
      <c r="C3" s="6">
        <v>6</v>
      </c>
      <c r="D3" s="12">
        <v>46272</v>
      </c>
      <c r="E3" s="12">
        <v>46277</v>
      </c>
      <c r="F3" s="6">
        <v>12</v>
      </c>
    </row>
    <row r="4">
      <c r="A4" s="4" t="inlineStr">
        <is>
          <t>A1020</t>
        </is>
      </c>
      <c r="B4" s="4" t="inlineStr">
        <is>
          <t>Formwork &amp; rebar, level-3 slab</t>
        </is>
      </c>
      <c r="C4" s="6">
        <v>15</v>
      </c>
      <c r="D4" s="12">
        <v>46279</v>
      </c>
      <c r="E4" s="12">
        <v>46295</v>
      </c>
      <c r="F4" s="6">
        <v>24</v>
      </c>
    </row>
    <row r="5">
      <c r="A5" s="4" t="inlineStr">
        <is>
          <t>A1030</t>
        </is>
      </c>
      <c r="B5" s="4" t="inlineStr">
        <is>
          <t>Concrete, level-3 slab</t>
        </is>
      </c>
      <c r="C5" s="6">
        <v>2</v>
      </c>
      <c r="D5" s="12">
        <v>46296</v>
      </c>
      <c r="E5" s="12">
        <v>46297</v>
      </c>
      <c r="F5" s="6">
        <v>30</v>
      </c>
    </row>
    <row r="6">
      <c r="A6" s="4" t="inlineStr">
        <is>
          <t>A1040</t>
        </is>
      </c>
      <c r="B6" s="4" t="inlineStr">
        <is>
          <t>Column rebar &amp; forms, level 4</t>
        </is>
      </c>
      <c r="C6" s="6">
        <v>6</v>
      </c>
      <c r="D6" s="12">
        <v>46300</v>
      </c>
      <c r="E6" s="12">
        <v>46305</v>
      </c>
      <c r="F6" s="6">
        <v>14</v>
      </c>
    </row>
    <row r="7">
      <c r="A7" s="4" t="inlineStr">
        <is>
          <t>A2010</t>
        </is>
      </c>
      <c r="B7" s="4" t="inlineStr">
        <is>
          <t>Blockwork, level 1</t>
        </is>
      </c>
      <c r="C7" s="6">
        <v>18</v>
      </c>
      <c r="D7" s="12">
        <v>46279</v>
      </c>
      <c r="E7" s="12">
        <v>46298</v>
      </c>
      <c r="F7" s="6">
        <v>10</v>
      </c>
    </row>
    <row r="8">
      <c r="A8" s="4" t="inlineStr">
        <is>
          <t>A2020</t>
        </is>
      </c>
      <c r="B8" s="4" t="inlineStr">
        <is>
          <t>Blockwork, level 2</t>
        </is>
      </c>
      <c r="C8" s="6">
        <v>12</v>
      </c>
      <c r="D8" s="12">
        <v>46300</v>
      </c>
      <c r="E8" s="12">
        <v>46312</v>
      </c>
      <c r="F8" s="6">
        <v>10</v>
      </c>
    </row>
    <row r="9">
      <c r="A9" s="4" t="inlineStr">
        <is>
          <t>A3010</t>
        </is>
      </c>
      <c r="B9" s="4" t="inlineStr">
        <is>
          <t>Plumbing pipework, level 1</t>
        </is>
      </c>
      <c r="C9" s="6">
        <v>11</v>
      </c>
      <c r="D9" s="12">
        <v>46286</v>
      </c>
      <c r="E9" s="12">
        <v>46297</v>
      </c>
      <c r="F9" s="6">
        <v>4</v>
      </c>
    </row>
    <row r="10">
      <c r="A10" s="4" t="inlineStr">
        <is>
          <t>A3020</t>
        </is>
      </c>
      <c r="B10" s="4" t="inlineStr">
        <is>
          <t>Concealed wiring, level 1</t>
        </is>
      </c>
      <c r="C10" s="6">
        <v>6</v>
      </c>
      <c r="D10" s="12">
        <v>46293</v>
      </c>
      <c r="E10" s="12">
        <v>46298</v>
      </c>
      <c r="F10" s="6">
        <v>4</v>
      </c>
    </row>
  </sheetData>
  <hyperlinks>
    <hyperlink ref="H1" location="'Index'!A28" display="← Index"/>
  </hyperlink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10"/>
  <sheetViews>
    <sheetView workbookViewId="0">
      <selection activeCell="G10" sqref="G10"/>
    </sheetView>
  </sheetViews>
  <sheetFormatPr defaultRowHeight="15"/>
  <cols>
    <col min="1" max="1" width="7.00" customWidth="1"/>
    <col min="2" max="2" width="25.00" customWidth="1"/>
    <col min="3" max="3" width="8.00" customWidth="1"/>
    <col min="4" max="4" width="10.00" customWidth="1"/>
    <col min="5" max="5" width="10.00" customWidth="1"/>
    <col min="6" max="6" width="11.00" customWidth="1"/>
    <col min="7" max="7" width="9.00" customWidth="1"/>
    <col min="9" max="9" width="12.00" customWidth="1"/>
  </cols>
  <sheetData>
    <row r="1">
      <c r="A1" s="1" t="inlineStr">
        <is>
          <t>CONSTRUCTION SCHEDULE — 9-STOREY OFFICE BUILDING</t>
        </is>
      </c>
      <c r="I1" s="106" t="inlineStr">
        <is>
          <t>← Index</t>
        </is>
      </c>
    </row>
    <row r="2" ht="27.00" customHeight="1">
      <c r="A2" s="2" t="inlineStr">
        <is>
          <t>Activity ID</t>
        </is>
      </c>
      <c r="B2" s="2" t="inlineStr">
        <is>
          <t>Activity Name</t>
        </is>
      </c>
      <c r="C2" s="2" t="inlineStr">
        <is>
          <t>Duration</t>
        </is>
      </c>
      <c r="D2" s="2" t="inlineStr">
        <is>
          <t>Start</t>
        </is>
      </c>
      <c r="E2" s="2" t="inlineStr">
        <is>
          <t>Finish</t>
        </is>
      </c>
      <c r="F2" s="2" t="inlineStr">
        <is>
          <t>Predecessors</t>
        </is>
      </c>
      <c r="G2" s="2" t="inlineStr">
        <is>
          <t>Manpower</t>
        </is>
      </c>
    </row>
    <row r="3">
      <c r="A3" s="4" t="inlineStr">
        <is>
          <t>A1010</t>
        </is>
      </c>
      <c r="B3" s="4" t="inlineStr">
        <is>
          <t>Concrete, level-3 columns</t>
        </is>
      </c>
      <c r="C3" s="6">
        <v>6</v>
      </c>
      <c r="D3" s="12">
        <v>46272</v>
      </c>
      <c r="E3" s="12">
        <v>46277</v>
      </c>
      <c r="F3" s="4"/>
      <c r="G3" s="6">
        <v>12</v>
      </c>
    </row>
    <row r="4">
      <c r="A4" s="4" t="inlineStr">
        <is>
          <t>A1020</t>
        </is>
      </c>
      <c r="B4" s="4" t="inlineStr">
        <is>
          <t>Formwork &amp; rebar, level-3 slab</t>
        </is>
      </c>
      <c r="C4" s="6">
        <v>15</v>
      </c>
      <c r="D4" s="12">
        <v>46279</v>
      </c>
      <c r="E4" s="12">
        <v>46295</v>
      </c>
      <c r="F4" s="4" t="inlineStr">
        <is>
          <t>A1010</t>
        </is>
      </c>
      <c r="G4" s="6">
        <v>24</v>
      </c>
    </row>
    <row r="5">
      <c r="A5" s="4" t="inlineStr">
        <is>
          <t>A1030</t>
        </is>
      </c>
      <c r="B5" s="4" t="inlineStr">
        <is>
          <t>Concrete, level-3 slab</t>
        </is>
      </c>
      <c r="C5" s="6">
        <v>2</v>
      </c>
      <c r="D5" s="12">
        <v>46296</v>
      </c>
      <c r="E5" s="12">
        <v>46297</v>
      </c>
      <c r="F5" s="4" t="inlineStr">
        <is>
          <t>A1020</t>
        </is>
      </c>
      <c r="G5" s="6">
        <v>30</v>
      </c>
    </row>
    <row r="6">
      <c r="A6" s="4" t="inlineStr">
        <is>
          <t>A1040</t>
        </is>
      </c>
      <c r="B6" s="4" t="inlineStr">
        <is>
          <t>Column rebar &amp; forms, level 4</t>
        </is>
      </c>
      <c r="C6" s="6">
        <v>6</v>
      </c>
      <c r="D6" s="12">
        <v>46300</v>
      </c>
      <c r="E6" s="12">
        <v>46305</v>
      </c>
      <c r="F6" s="4" t="inlineStr">
        <is>
          <t>A1030FS+2</t>
        </is>
      </c>
      <c r="G6" s="6">
        <v>14</v>
      </c>
    </row>
    <row r="7">
      <c r="A7" s="4" t="inlineStr">
        <is>
          <t>A2010</t>
        </is>
      </c>
      <c r="B7" s="4" t="inlineStr">
        <is>
          <t>Blockwork, level 1</t>
        </is>
      </c>
      <c r="C7" s="6">
        <v>18</v>
      </c>
      <c r="D7" s="12">
        <v>46279</v>
      </c>
      <c r="E7" s="12">
        <v>46298</v>
      </c>
      <c r="F7" s="4" t="inlineStr">
        <is>
          <t>A1010</t>
        </is>
      </c>
      <c r="G7" s="6">
        <v>10</v>
      </c>
    </row>
    <row r="8">
      <c r="A8" s="4" t="inlineStr">
        <is>
          <t>A2020</t>
        </is>
      </c>
      <c r="B8" s="4" t="inlineStr">
        <is>
          <t>Blockwork, level 2</t>
        </is>
      </c>
      <c r="C8" s="6">
        <v>12</v>
      </c>
      <c r="D8" s="12">
        <v>46300</v>
      </c>
      <c r="E8" s="12">
        <v>46312</v>
      </c>
      <c r="F8" s="4" t="inlineStr">
        <is>
          <t>A2010</t>
        </is>
      </c>
      <c r="G8" s="6">
        <v>10</v>
      </c>
    </row>
    <row r="9">
      <c r="A9" s="4" t="inlineStr">
        <is>
          <t>A3010</t>
        </is>
      </c>
      <c r="B9" s="4" t="inlineStr">
        <is>
          <t>Plumbing pipework, level 1</t>
        </is>
      </c>
      <c r="C9" s="6">
        <v>11</v>
      </c>
      <c r="D9" s="12">
        <v>46286</v>
      </c>
      <c r="E9" s="12">
        <v>46297</v>
      </c>
      <c r="F9" s="4" t="inlineStr">
        <is>
          <t>A2010SS+6</t>
        </is>
      </c>
      <c r="G9" s="6">
        <v>4</v>
      </c>
    </row>
    <row r="10">
      <c r="A10" s="4" t="inlineStr">
        <is>
          <t>A3020</t>
        </is>
      </c>
      <c r="B10" s="4" t="inlineStr">
        <is>
          <t>Concealed wiring, level 1</t>
        </is>
      </c>
      <c r="C10" s="6">
        <v>6</v>
      </c>
      <c r="D10" s="12">
        <v>46293</v>
      </c>
      <c r="E10" s="12">
        <v>46298</v>
      </c>
      <c r="F10" s="4" t="inlineStr">
        <is>
          <t>A3010SS+6</t>
        </is>
      </c>
      <c r="G10" s="6">
        <v>4</v>
      </c>
    </row>
  </sheetData>
  <hyperlinks>
    <hyperlink ref="I1" location="'Index'!A29" display="← Index"/>
  </hyperlink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H10"/>
  <sheetViews>
    <sheetView workbookViewId="0">
      <selection activeCell="F4" sqref="F4"/>
    </sheetView>
  </sheetViews>
  <sheetFormatPr defaultRowHeight="15"/>
  <cols>
    <col min="1" max="1" width="7.00" customWidth="1"/>
    <col min="2" max="2" width="25.00" customWidth="1"/>
    <col min="3" max="3" width="8.00" customWidth="1"/>
    <col min="4" max="4" width="10.00" customWidth="1"/>
    <col min="5" max="5" width="10.00" customWidth="1"/>
    <col min="6" max="6" width="13.00" customWidth="1"/>
    <col min="8" max="8" width="12.00" customWidth="1"/>
  </cols>
  <sheetData>
    <row r="1">
      <c r="A1" s="1" t="inlineStr">
        <is>
          <t>CONSTRUCTION SCHEDULE — 9-STOREY OFFICE BUILDING</t>
        </is>
      </c>
      <c r="H1" s="106" t="inlineStr">
        <is>
          <t>← Index</t>
        </is>
      </c>
    </row>
    <row r="2" ht="27.00" customHeight="1">
      <c r="A2" s="2" t="inlineStr">
        <is>
          <t>Activity ID</t>
        </is>
      </c>
      <c r="B2" s="2" t="inlineStr">
        <is>
          <t>Activity Name</t>
        </is>
      </c>
      <c r="C2" s="2" t="inlineStr">
        <is>
          <t>Duration</t>
        </is>
      </c>
      <c r="D2" s="2" t="inlineStr">
        <is>
          <t>Start</t>
        </is>
      </c>
      <c r="E2" s="2" t="inlineStr">
        <is>
          <t>Finish</t>
        </is>
      </c>
      <c r="F2" s="2" t="inlineStr">
        <is>
          <t>BAC</t>
        </is>
      </c>
    </row>
    <row r="3">
      <c r="A3" s="4" t="inlineStr">
        <is>
          <t>A1010</t>
        </is>
      </c>
      <c r="B3" s="4" t="inlineStr">
        <is>
          <t>Concrete, level-3 columns</t>
        </is>
      </c>
      <c r="C3" s="6">
        <v>6</v>
      </c>
      <c r="D3" s="12">
        <v>46272</v>
      </c>
      <c r="E3" s="12">
        <v>46277</v>
      </c>
      <c r="F3" s="15">
        <v>420000000</v>
      </c>
    </row>
    <row r="4">
      <c r="A4" s="4" t="inlineStr">
        <is>
          <t>A1020</t>
        </is>
      </c>
      <c r="B4" s="4" t="inlineStr">
        <is>
          <t>Formwork &amp; rebar, level-3 slab</t>
        </is>
      </c>
      <c r="C4" s="6">
        <v>15</v>
      </c>
      <c r="D4" s="12">
        <v>46279</v>
      </c>
      <c r="E4" s="12">
        <v>46295</v>
      </c>
      <c r="F4" s="15">
        <v>1250000000</v>
      </c>
    </row>
    <row r="5">
      <c r="A5" s="4" t="inlineStr">
        <is>
          <t>A1030</t>
        </is>
      </c>
      <c r="B5" s="4" t="inlineStr">
        <is>
          <t>Concrete, level-3 slab</t>
        </is>
      </c>
      <c r="C5" s="6">
        <v>2</v>
      </c>
      <c r="D5" s="12">
        <v>46296</v>
      </c>
      <c r="E5" s="12">
        <v>46297</v>
      </c>
      <c r="F5" s="15">
        <v>980000000</v>
      </c>
    </row>
    <row r="6">
      <c r="A6" s="4" t="inlineStr">
        <is>
          <t>A1040</t>
        </is>
      </c>
      <c r="B6" s="4" t="inlineStr">
        <is>
          <t>Column rebar &amp; forms, level 4</t>
        </is>
      </c>
      <c r="C6" s="6">
        <v>6</v>
      </c>
      <c r="D6" s="12">
        <v>46300</v>
      </c>
      <c r="E6" s="12">
        <v>46305</v>
      </c>
      <c r="F6" s="15">
        <v>510000000</v>
      </c>
    </row>
    <row r="7">
      <c r="A7" s="4" t="inlineStr">
        <is>
          <t>A2010</t>
        </is>
      </c>
      <c r="B7" s="4" t="inlineStr">
        <is>
          <t>Blockwork, level 1</t>
        </is>
      </c>
      <c r="C7" s="6">
        <v>18</v>
      </c>
      <c r="D7" s="12">
        <v>46279</v>
      </c>
      <c r="E7" s="12">
        <v>46298</v>
      </c>
      <c r="F7" s="15">
        <v>640000000</v>
      </c>
    </row>
    <row r="8">
      <c r="A8" s="4" t="inlineStr">
        <is>
          <t>A2020</t>
        </is>
      </c>
      <c r="B8" s="4" t="inlineStr">
        <is>
          <t>Blockwork, level 2</t>
        </is>
      </c>
      <c r="C8" s="6">
        <v>12</v>
      </c>
      <c r="D8" s="12">
        <v>46300</v>
      </c>
      <c r="E8" s="12">
        <v>46312</v>
      </c>
      <c r="F8" s="15">
        <v>610000000</v>
      </c>
    </row>
    <row r="9">
      <c r="A9" s="4" t="inlineStr">
        <is>
          <t>A3010</t>
        </is>
      </c>
      <c r="B9" s="4" t="inlineStr">
        <is>
          <t>Plumbing pipework, level 1</t>
        </is>
      </c>
      <c r="C9" s="6">
        <v>11</v>
      </c>
      <c r="D9" s="12">
        <v>46286</v>
      </c>
      <c r="E9" s="12">
        <v>46297</v>
      </c>
      <c r="F9" s="15">
        <v>360000000</v>
      </c>
    </row>
    <row r="10">
      <c r="A10" s="4" t="inlineStr">
        <is>
          <t>A3020</t>
        </is>
      </c>
      <c r="B10" s="4" t="inlineStr">
        <is>
          <t>Concealed wiring, level 1</t>
        </is>
      </c>
      <c r="C10" s="6">
        <v>6</v>
      </c>
      <c r="D10" s="12">
        <v>46293</v>
      </c>
      <c r="E10" s="12">
        <v>46298</v>
      </c>
      <c r="F10" s="15">
        <v>240000000</v>
      </c>
    </row>
  </sheetData>
  <hyperlinks>
    <hyperlink ref="H1" location="'Index'!A30" display="← Index"/>
  </hyperlink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H5"/>
  <sheetViews>
    <sheetView workbookViewId="0">
      <selection activeCell="A2" sqref="A2:D5"/>
    </sheetView>
  </sheetViews>
  <sheetFormatPr defaultRowHeight="15"/>
  <cols>
    <col min="1" max="1" width="8.00" customWidth="1"/>
    <col min="2" max="2" width="14.00" customWidth="1"/>
    <col min="3" max="3" width="10.00" customWidth="1"/>
    <col min="4" max="4" width="9.00" customWidth="1"/>
    <col min="5" max="5" width="8.00" customWidth="1"/>
    <col min="6" max="6" width="8.00" customWidth="1"/>
    <col min="8" max="8" width="12.00" customWidth="1"/>
  </cols>
  <sheetData>
    <row r="1" ht="25.50" customHeight="1">
      <c r="A1" s="16" t="inlineStr">
        <is>
          <t>Ø (mm)</t>
        </is>
      </c>
      <c r="B1" s="16" t="inlineStr">
        <is>
          <t>Length (mm)</t>
        </is>
      </c>
      <c r="C1" s="16" t="inlineStr">
        <is>
          <t>Quantity</t>
        </is>
      </c>
      <c r="D1" s="16" t="inlineStr">
        <is>
          <t>Marks</t>
        </is>
      </c>
      <c r="H1" s="106" t="inlineStr">
        <is>
          <t>← Index</t>
        </is>
      </c>
    </row>
    <row r="2">
      <c r="A2" s="4">
        <v>8</v>
      </c>
      <c r="B2" s="4">
        <v>1320</v>
      </c>
      <c r="C2" s="4">
        <v>240</v>
      </c>
      <c r="D2" s="4">
        <v>3</v>
      </c>
    </row>
    <row r="3">
      <c r="A3" s="4">
        <v>12</v>
      </c>
      <c r="B3" s="4">
        <v>2080</v>
      </c>
      <c r="C3" s="4">
        <v>120</v>
      </c>
      <c r="D3" s="4">
        <v>4</v>
      </c>
    </row>
    <row r="4">
      <c r="A4" s="4">
        <v>20</v>
      </c>
      <c r="B4" s="4">
        <v>5700</v>
      </c>
      <c r="C4" s="4">
        <v>24</v>
      </c>
      <c r="D4" s="4">
        <v>1</v>
      </c>
    </row>
    <row r="5">
      <c r="A5" s="4">
        <v>20</v>
      </c>
      <c r="B5" s="4">
        <v>3880</v>
      </c>
      <c r="C5" s="4">
        <v>12</v>
      </c>
      <c r="D5" s="4">
        <v>2</v>
      </c>
    </row>
  </sheetData>
  <hyperlinks>
    <hyperlink ref="H1" location="'Index'!A31" display="← Index"/>
  </hyperlink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K5"/>
  <sheetViews>
    <sheetView workbookViewId="0">
      <selection activeCell="A1" sqref="A1:I5"/>
    </sheetView>
  </sheetViews>
  <sheetFormatPr defaultRowHeight="15"/>
  <cols>
    <col min="1" max="1" width="8.00" customWidth="1"/>
    <col min="2" max="2" width="9.00" customWidth="1"/>
    <col min="3" max="3" width="7.00" customWidth="1"/>
    <col min="4" max="4" width="10.00" customWidth="1"/>
    <col min="5" max="5" width="7.00" customWidth="1"/>
    <col min="6" max="6" width="7.00" customWidth="1"/>
    <col min="7" max="7" width="7.00" customWidth="1"/>
    <col min="8" max="8" width="8.00" customWidth="1"/>
    <col min="9" max="9" width="12.00" customWidth="1"/>
    <col min="11" max="11" width="12.00" customWidth="1"/>
  </cols>
  <sheetData>
    <row r="1">
      <c r="A1" s="3" t="inlineStr">
        <is>
          <t>Mark</t>
        </is>
      </c>
      <c r="B1" s="3" t="inlineStr">
        <is>
          <t>Member</t>
        </is>
      </c>
      <c r="C1" s="3" t="inlineStr">
        <is>
          <t>Ø (mm)</t>
        </is>
      </c>
      <c r="D1" s="3" t="inlineStr">
        <is>
          <t>Shape</t>
        </is>
      </c>
      <c r="E1" s="3" t="inlineStr">
        <is>
          <t>A</t>
        </is>
      </c>
      <c r="F1" s="3" t="inlineStr">
        <is>
          <t>B</t>
        </is>
      </c>
      <c r="G1" s="3" t="inlineStr">
        <is>
          <t>C</t>
        </is>
      </c>
      <c r="H1" s="3" t="inlineStr">
        <is>
          <t>Members</t>
        </is>
      </c>
      <c r="I1" s="3" t="inlineStr">
        <is>
          <t>Bars/member</t>
        </is>
      </c>
      <c r="K1" s="106" t="inlineStr">
        <is>
          <t>← Index</t>
        </is>
      </c>
    </row>
    <row r="2">
      <c r="A2" s="6">
        <v>1</v>
      </c>
      <c r="B2" s="4" t="inlineStr">
        <is>
          <t>Beam D1</t>
        </is>
      </c>
      <c r="C2" s="4">
        <v>20</v>
      </c>
      <c r="D2" s="6" t="inlineStr">
        <is>
          <t>00</t>
        </is>
      </c>
      <c r="E2" s="4">
        <v>5700</v>
      </c>
      <c r="F2" s="4"/>
      <c r="G2" s="4"/>
      <c r="H2" s="4">
        <v>6</v>
      </c>
      <c r="I2" s="4">
        <v>4</v>
      </c>
    </row>
    <row r="3">
      <c r="A3" s="6">
        <v>2</v>
      </c>
      <c r="B3" s="4" t="inlineStr">
        <is>
          <t>Beam D1</t>
        </is>
      </c>
      <c r="C3" s="4">
        <v>20</v>
      </c>
      <c r="D3" s="6">
        <v>21</v>
      </c>
      <c r="E3" s="4">
        <v>3500</v>
      </c>
      <c r="F3" s="4">
        <v>400</v>
      </c>
      <c r="G3" s="4"/>
      <c r="H3" s="4">
        <v>6</v>
      </c>
      <c r="I3" s="4">
        <v>2</v>
      </c>
    </row>
    <row r="4">
      <c r="A4" s="6">
        <v>3</v>
      </c>
      <c r="B4" s="4" t="inlineStr">
        <is>
          <t>Beam D1</t>
        </is>
      </c>
      <c r="C4" s="4">
        <v>8</v>
      </c>
      <c r="D4" s="6">
        <v>51</v>
      </c>
      <c r="E4" s="4">
        <v>200</v>
      </c>
      <c r="F4" s="4">
        <v>400</v>
      </c>
      <c r="G4" s="4"/>
      <c r="H4" s="4">
        <v>6</v>
      </c>
      <c r="I4" s="4">
        <v>40</v>
      </c>
    </row>
    <row r="5">
      <c r="A5" s="6">
        <v>4</v>
      </c>
      <c r="B5" s="4" t="inlineStr">
        <is>
          <t>Slab S5</t>
        </is>
      </c>
      <c r="C5" s="4">
        <v>12</v>
      </c>
      <c r="D5" s="6">
        <v>31</v>
      </c>
      <c r="E5" s="4">
        <v>150</v>
      </c>
      <c r="F5" s="4">
        <v>1800</v>
      </c>
      <c r="G5" s="4">
        <v>150</v>
      </c>
      <c r="H5" s="4">
        <v>1</v>
      </c>
      <c r="I5" s="4">
        <v>120</v>
      </c>
    </row>
  </sheetData>
  <hyperlinks>
    <hyperlink ref="K1" location="'Index'!A33" display="← Index"/>
  </hyperlink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H4"/>
  <sheetViews>
    <sheetView workbookViewId="0">
      <selection activeCell="A2" sqref="A2:E4"/>
    </sheetView>
  </sheetViews>
  <sheetFormatPr defaultRowHeight="15"/>
  <cols>
    <col min="1" max="1" width="7.00" customWidth="1"/>
    <col min="2" max="2" width="5.00" customWidth="1"/>
    <col min="3" max="3" width="10.00" customWidth="1"/>
    <col min="4" max="4" width="13.00" customWidth="1"/>
    <col min="5" max="5" width="8.50" customWidth="1"/>
    <col min="6" max="6" width="8.00" customWidth="1"/>
    <col min="8" max="8" width="12.00" customWidth="1"/>
  </cols>
  <sheetData>
    <row r="1">
      <c r="A1" s="17" t="inlineStr">
        <is>
          <t>Length</t>
        </is>
      </c>
      <c r="B1" s="17" t="inlineStr">
        <is>
          <t>Qty</t>
        </is>
      </c>
      <c r="C1" s="17" t="inlineStr">
        <is>
          <t>Material</t>
        </is>
      </c>
      <c r="D1" s="17" t="inlineStr">
        <is>
          <t>Label</t>
        </is>
      </c>
      <c r="E1" s="17" t="inlineStr">
        <is>
          <t>Priority</t>
        </is>
      </c>
      <c r="H1" s="106" t="inlineStr">
        <is>
          <t>← Index</t>
        </is>
      </c>
    </row>
    <row r="2">
      <c r="A2" s="18">
        <v>2350</v>
      </c>
      <c r="B2" s="18">
        <v>40</v>
      </c>
      <c r="C2" s="18" t="inlineStr">
        <is>
          <t>HOP50</t>
        </is>
      </c>
      <c r="D2" s="18" t="inlineStr">
        <is>
          <t>Cross bracing</t>
        </is>
      </c>
      <c r="E2" s="18">
        <v>0</v>
      </c>
    </row>
    <row r="3">
      <c r="A3" s="18">
        <v>1800</v>
      </c>
      <c r="B3" s="18">
        <v>24</v>
      </c>
      <c r="C3" s="18" t="inlineStr">
        <is>
          <t>HOP50</t>
        </is>
      </c>
      <c r="D3" s="18" t="inlineStr">
        <is>
          <t>Uprights</t>
        </is>
      </c>
      <c r="E3" s="18">
        <v>0</v>
      </c>
    </row>
    <row r="4">
      <c r="A4" s="18">
        <v>950</v>
      </c>
      <c r="B4" s="18">
        <v>30</v>
      </c>
      <c r="C4" s="18" t="inlineStr">
        <is>
          <t>HOP50</t>
        </is>
      </c>
      <c r="D4" s="18" t="inlineStr">
        <is>
          <t>Diagonals</t>
        </is>
      </c>
      <c r="E4" s="18">
        <v>0</v>
      </c>
    </row>
  </sheetData>
  <hyperlinks>
    <hyperlink ref="H1" location="'Index'!A34" display="← Index"/>
  </hyperlink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J2"/>
  <sheetViews>
    <sheetView workbookViewId="0">
      <selection activeCell="A2" sqref="A2"/>
    </sheetView>
  </sheetViews>
  <sheetFormatPr defaultRowHeight="15"/>
  <cols>
    <col min="1" max="1" width="7.00" customWidth="1"/>
    <col min="2" max="2" width="10.00" customWidth="1"/>
    <col min="3" max="3" width="10.00" customWidth="1"/>
    <col min="4" max="4" width="5.00" customWidth="1"/>
    <col min="5" max="5" width="8.00" customWidth="1"/>
    <col min="6" max="6" width="8.00" customWidth="1"/>
    <col min="7" max="7" width="8.50" customWidth="1"/>
    <col min="8" max="8" width="13.00" customWidth="1"/>
    <col min="10" max="10" width="12.00" customWidth="1"/>
  </cols>
  <sheetData>
    <row r="1">
      <c r="A1" s="17" t="inlineStr">
        <is>
          <t>Length</t>
        </is>
      </c>
      <c r="B1" s="17" t="inlineStr">
        <is>
          <t>Qty (0=∞)</t>
        </is>
      </c>
      <c r="C1" s="17" t="inlineStr">
        <is>
          <t>Material</t>
        </is>
      </c>
      <c r="D1" s="17" t="inlineStr">
        <is>
          <t>Kerf</t>
        </is>
      </c>
      <c r="E1" s="17" t="inlineStr">
        <is>
          <t>Trim</t>
        </is>
      </c>
      <c r="F1" s="17" t="inlineStr">
        <is>
          <t>Cost</t>
        </is>
      </c>
      <c r="G1" s="17" t="inlineStr">
        <is>
          <t>Priority</t>
        </is>
      </c>
      <c r="H1" s="17" t="inlineStr">
        <is>
          <t>Min offcut</t>
        </is>
      </c>
      <c r="J1" s="106" t="inlineStr">
        <is>
          <t>← Index</t>
        </is>
      </c>
    </row>
    <row r="2">
      <c r="A2" s="18">
        <v>6000</v>
      </c>
      <c r="B2" s="18">
        <v>0</v>
      </c>
      <c r="C2" s="18" t="inlineStr">
        <is>
          <t>HOP50</t>
        </is>
      </c>
      <c r="D2" s="18">
        <v>3</v>
      </c>
      <c r="E2" s="18">
        <v>10</v>
      </c>
      <c r="F2" s="18">
        <v>148000</v>
      </c>
      <c r="G2" s="18">
        <v>0</v>
      </c>
      <c r="H2" s="18">
        <v>1000</v>
      </c>
    </row>
  </sheetData>
  <hyperlinks>
    <hyperlink ref="J1" location="'Index'!A34" display="← Index"/>
  </hyperlink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4"/>
  <sheetViews>
    <sheetView workbookViewId="0">
      <selection activeCell="A2" sqref="A2:G4"/>
    </sheetView>
  </sheetViews>
  <sheetFormatPr defaultRowHeight="15"/>
  <cols>
    <col min="1" max="1" width="7.00" customWidth="1"/>
    <col min="2" max="2" width="6.50" customWidth="1"/>
    <col min="3" max="3" width="5.00" customWidth="1"/>
    <col min="4" max="4" width="9.00" customWidth="1"/>
    <col min="5" max="5" width="11.50" customWidth="1"/>
    <col min="6" max="6" width="17.00" customWidth="1"/>
    <col min="7" max="7" width="8.50" customWidth="1"/>
    <col min="8" max="8" width="13.50" customWidth="1"/>
    <col min="9" max="9" width="13.50" customWidth="1"/>
    <col min="11" max="11" width="12.00" customWidth="1"/>
  </cols>
  <sheetData>
    <row r="1">
      <c r="A1" s="17" t="inlineStr">
        <is>
          <t>Length</t>
        </is>
      </c>
      <c r="B1" s="17" t="inlineStr">
        <is>
          <t>Width</t>
        </is>
      </c>
      <c r="C1" s="17" t="inlineStr">
        <is>
          <t>Qty</t>
        </is>
      </c>
      <c r="D1" s="17" t="inlineStr">
        <is>
          <t>Material</t>
        </is>
      </c>
      <c r="E1" s="17" t="inlineStr">
        <is>
          <t>Rotate (1/0)</t>
        </is>
      </c>
      <c r="F1" s="17" t="inlineStr">
        <is>
          <t>Label</t>
        </is>
      </c>
      <c r="G1" s="17" t="inlineStr">
        <is>
          <t>Priority</t>
        </is>
      </c>
      <c r="H1" s="17" t="inlineStr">
        <is>
          <t>Band (T B L R)</t>
        </is>
      </c>
      <c r="I1" s="17" t="inlineStr">
        <is>
          <t>Grind (T B L R)</t>
        </is>
      </c>
      <c r="K1" s="106" t="inlineStr">
        <is>
          <t>← Index</t>
        </is>
      </c>
    </row>
    <row r="2">
      <c r="A2" s="18">
        <v>1200</v>
      </c>
      <c r="B2" s="18">
        <v>600</v>
      </c>
      <c r="C2" s="18">
        <v>18</v>
      </c>
      <c r="D2" s="18" t="inlineStr">
        <is>
          <t>PLY18</t>
        </is>
      </c>
      <c r="E2" s="18">
        <v>1</v>
      </c>
      <c r="F2" s="18" t="inlineStr">
        <is>
          <t>Column C1 form</t>
        </is>
      </c>
      <c r="G2" s="18">
        <v>0</v>
      </c>
    </row>
    <row r="3">
      <c r="A3" s="18">
        <v>900</v>
      </c>
      <c r="B3" s="18">
        <v>450</v>
      </c>
      <c r="C3" s="18">
        <v>24</v>
      </c>
      <c r="D3" s="18" t="inlineStr">
        <is>
          <t>PLY18</t>
        </is>
      </c>
      <c r="E3" s="18">
        <v>1</v>
      </c>
      <c r="F3" s="18" t="inlineStr">
        <is>
          <t>Beam D2 form</t>
        </is>
      </c>
      <c r="G3" s="18">
        <v>0</v>
      </c>
    </row>
    <row r="4">
      <c r="A4" s="18">
        <v>2000</v>
      </c>
      <c r="B4" s="18">
        <v>300</v>
      </c>
      <c r="C4" s="18">
        <v>10</v>
      </c>
      <c r="D4" s="18" t="inlineStr">
        <is>
          <t>PLY18</t>
        </is>
      </c>
      <c r="E4" s="18">
        <v>0</v>
      </c>
      <c r="F4" s="18" t="inlineStr">
        <is>
          <t>Edge board</t>
        </is>
      </c>
      <c r="G4" s="18">
        <v>0</v>
      </c>
    </row>
  </sheetData>
  <hyperlinks>
    <hyperlink ref="K1" location="'Index'!A35" display="← Index"/>
  </hyperlink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L2"/>
  <sheetViews>
    <sheetView workbookViewId="0">
      <selection activeCell="A2" sqref="A2"/>
    </sheetView>
  </sheetViews>
  <sheetFormatPr defaultRowHeight="15"/>
  <cols>
    <col min="1" max="1" width="7.00" customWidth="1"/>
    <col min="2" max="2" width="6.50" customWidth="1"/>
    <col min="3" max="3" width="10.00" customWidth="1"/>
    <col min="4" max="4" width="9.00" customWidth="1"/>
    <col min="5" max="5" width="5.00" customWidth="1"/>
    <col min="6" max="6" width="8.00" customWidth="1"/>
    <col min="7" max="7" width="9.00" customWidth="1"/>
    <col min="8" max="8" width="8.50" customWidth="1"/>
    <col min="9" max="9" width="13.00" customWidth="1"/>
    <col min="10" max="10" width="14.00" customWidth="1"/>
    <col min="12" max="12" width="12.00" customWidth="1"/>
  </cols>
  <sheetData>
    <row r="1">
      <c r="A1" s="17" t="inlineStr">
        <is>
          <t>Length</t>
        </is>
      </c>
      <c r="B1" s="17" t="inlineStr">
        <is>
          <t>Width</t>
        </is>
      </c>
      <c r="C1" s="17" t="inlineStr">
        <is>
          <t>Qty (0=∞)</t>
        </is>
      </c>
      <c r="D1" s="17" t="inlineStr">
        <is>
          <t>Material</t>
        </is>
      </c>
      <c r="E1" s="17" t="inlineStr">
        <is>
          <t>Kerf</t>
        </is>
      </c>
      <c r="F1" s="17" t="inlineStr">
        <is>
          <t>Trim</t>
        </is>
      </c>
      <c r="G1" s="17" t="inlineStr">
        <is>
          <t>Cost</t>
        </is>
      </c>
      <c r="H1" s="17" t="inlineStr">
        <is>
          <t>Priority</t>
        </is>
      </c>
      <c r="I1" s="17" t="inlineStr">
        <is>
          <t>Min offcut</t>
        </is>
      </c>
      <c r="J1" s="17" t="inlineStr">
        <is>
          <t>Band thickness</t>
        </is>
      </c>
      <c r="L1" s="106" t="inlineStr">
        <is>
          <t>← Index</t>
        </is>
      </c>
    </row>
    <row r="2">
      <c r="A2" s="18">
        <v>2440</v>
      </c>
      <c r="B2" s="18">
        <v>1220</v>
      </c>
      <c r="C2" s="18">
        <v>0</v>
      </c>
      <c r="D2" s="18" t="inlineStr">
        <is>
          <t>PLY18</t>
        </is>
      </c>
      <c r="E2" s="18">
        <v>4</v>
      </c>
      <c r="F2" s="18">
        <v>5</v>
      </c>
      <c r="G2" s="18">
        <v>520000</v>
      </c>
      <c r="H2" s="18">
        <v>0</v>
      </c>
      <c r="I2" s="18">
        <v>300</v>
      </c>
    </row>
  </sheetData>
  <hyperlinks>
    <hyperlink ref="L1" location="'Index'!A35" display="← Index"/>
  </hyperlink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H13"/>
  <sheetViews>
    <sheetView workbookViewId="0">
      <selection activeCell="A2" sqref="A2"/>
    </sheetView>
  </sheetViews>
  <sheetFormatPr defaultRowHeight="15"/>
  <cols>
    <col min="1" max="1" width="10.80" customWidth="1"/>
    <col min="2" max="2" width="16.80" customWidth="1"/>
    <col min="3" max="3" width="11.80" customWidth="1"/>
    <col min="4" max="4" width="12.80" customWidth="1"/>
    <col min="5" max="5" width="6.00" customWidth="1"/>
    <col min="6" max="6" width="52.80" customWidth="1"/>
    <col min="8" max="8" width="12.00" customWidth="1"/>
  </cols>
  <sheetData>
    <row r="1">
      <c r="A1" s="19" t="inlineStr">
        <is>
          <t>Ø (mm)</t>
        </is>
      </c>
      <c r="B1" s="19" t="inlineStr">
        <is>
          <t>Chiều dài (mm)</t>
        </is>
      </c>
      <c r="C1" s="19" t="inlineStr">
        <is>
          <t>Số lượng</t>
        </is>
      </c>
      <c r="D1" s="19" t="inlineStr">
        <is>
          <t>Ký hiệu</t>
        </is>
      </c>
      <c r="F1" s="20" t="inlineStr">
        <is>
          <t>◀ DỮ LIỆU VÍ DỤ</t>
        </is>
      </c>
      <c r="H1" s="106" t="inlineStr">
        <is>
          <t>← Index</t>
        </is>
      </c>
    </row>
    <row r="2" ht="45.75" customHeight="1">
      <c r="A2" s="22">
        <v>25</v>
      </c>
      <c r="B2" s="22">
        <v>8300</v>
      </c>
      <c r="C2" s="22">
        <v>256</v>
      </c>
      <c r="D2" s="22">
        <v>1</v>
      </c>
      <c r="F2" s="21" t="inlineStr">
        <is>
          <t>12 dòng tô màu bên trái là ví dụ — xoá hết rồi nhập số liệu của bạn. Bốn cột này đúng bằng thứ lệnh Thống kê thép → Xuất danh sách cắt ghi ra, nên dán thẳng từ đó sang cũng được.</t>
        </is>
      </c>
    </row>
    <row r="3">
      <c r="A3" s="22">
        <v>25</v>
      </c>
      <c r="B3" s="22">
        <v>7300</v>
      </c>
      <c r="C3" s="22">
        <v>256</v>
      </c>
      <c r="D3" s="22">
        <v>2</v>
      </c>
    </row>
    <row r="4">
      <c r="A4" s="22">
        <v>16</v>
      </c>
      <c r="B4" s="22">
        <v>4620</v>
      </c>
      <c r="C4" s="22">
        <v>10</v>
      </c>
      <c r="D4" s="22">
        <v>3</v>
      </c>
    </row>
    <row r="5">
      <c r="A5" s="22">
        <v>16</v>
      </c>
      <c r="B5" s="22">
        <v>3620</v>
      </c>
      <c r="C5" s="22">
        <v>10</v>
      </c>
      <c r="D5" s="22">
        <v>4</v>
      </c>
    </row>
    <row r="6">
      <c r="A6" s="22">
        <v>16</v>
      </c>
      <c r="B6" s="22">
        <v>4830</v>
      </c>
      <c r="C6" s="22">
        <v>1</v>
      </c>
      <c r="D6" s="22">
        <v>5</v>
      </c>
    </row>
    <row r="7">
      <c r="A7" s="22">
        <v>16</v>
      </c>
      <c r="B7" s="22">
        <v>11700</v>
      </c>
      <c r="C7" s="22">
        <v>1</v>
      </c>
      <c r="D7" s="22">
        <v>6</v>
      </c>
    </row>
    <row r="8">
      <c r="A8" s="22">
        <v>16</v>
      </c>
      <c r="B8" s="22">
        <v>9790</v>
      </c>
      <c r="C8" s="22">
        <v>1</v>
      </c>
      <c r="D8" s="22">
        <v>7</v>
      </c>
    </row>
    <row r="9">
      <c r="A9" s="22">
        <v>16</v>
      </c>
      <c r="B9" s="22">
        <v>8660</v>
      </c>
      <c r="C9" s="22">
        <v>1</v>
      </c>
      <c r="D9" s="22">
        <v>9</v>
      </c>
    </row>
    <row r="10">
      <c r="A10" s="22">
        <v>16</v>
      </c>
      <c r="B10" s="22">
        <v>3700</v>
      </c>
      <c r="C10" s="22">
        <v>1</v>
      </c>
      <c r="D10" s="22">
        <v>10</v>
      </c>
    </row>
    <row r="11">
      <c r="A11" s="22">
        <v>16</v>
      </c>
      <c r="B11" s="22">
        <v>6870</v>
      </c>
      <c r="C11" s="22">
        <v>1</v>
      </c>
      <c r="D11" s="22">
        <v>11</v>
      </c>
    </row>
    <row r="12">
      <c r="A12" s="22">
        <v>10</v>
      </c>
      <c r="B12" s="22">
        <v>660</v>
      </c>
      <c r="C12" s="22">
        <v>914</v>
      </c>
      <c r="D12" s="22" t="inlineStr">
        <is>
          <t>1a</t>
        </is>
      </c>
    </row>
    <row r="13">
      <c r="A13" s="22">
        <v>8</v>
      </c>
      <c r="B13" s="22">
        <v>1380</v>
      </c>
      <c r="C13" s="22">
        <v>196</v>
      </c>
      <c r="D13" s="22" t="inlineStr">
        <is>
          <t>3a</t>
        </is>
      </c>
    </row>
  </sheetData>
  <hyperlinks>
    <hyperlink ref="H1" location="'Index'!A36" display="← Index"/>
  </hyperlink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I5"/>
  <sheetViews>
    <sheetView workbookViewId="0">
      <selection activeCell="A1" sqref="A1"/>
    </sheetView>
  </sheetViews>
  <sheetFormatPr defaultRowHeight="15"/>
  <cols>
    <col min="1" max="1" width="7.00" customWidth="1"/>
    <col min="2" max="2" width="5.00" customWidth="1"/>
    <col min="3" max="3" width="10.00" customWidth="1"/>
    <col min="4" max="4" width="11.00" customWidth="1"/>
    <col min="5" max="5" width="8.50" customWidth="1"/>
    <col min="6" max="6" width="8.00" customWidth="1"/>
    <col min="7" max="7" width="8.00" customWidth="1"/>
    <col min="9" max="9" width="12.00" customWidth="1"/>
  </cols>
  <sheetData>
    <row r="1">
      <c r="A1" s="17" t="inlineStr">
        <is>
          <t>Length</t>
        </is>
      </c>
      <c r="B1" s="17" t="inlineStr">
        <is>
          <t>Qty</t>
        </is>
      </c>
      <c r="C1" s="17" t="inlineStr">
        <is>
          <t>Material</t>
        </is>
      </c>
      <c r="D1" s="17" t="inlineStr">
        <is>
          <t>Label</t>
        </is>
      </c>
      <c r="E1" s="17" t="inlineStr">
        <is>
          <t>Priority</t>
        </is>
      </c>
      <c r="I1" s="106" t="inlineStr">
        <is>
          <t>← Index</t>
        </is>
      </c>
    </row>
    <row r="2">
      <c r="A2" s="18">
        <v>2100</v>
      </c>
      <c r="B2" s="18">
        <v>4</v>
      </c>
      <c r="C2" s="18" t="inlineStr">
        <is>
          <t>Hộp 50x50</t>
        </is>
      </c>
      <c r="D2" s="18" t="inlineStr">
        <is>
          <t>Cột</t>
        </is>
      </c>
      <c r="E2" s="18">
        <v>0</v>
      </c>
    </row>
    <row r="3">
      <c r="A3" s="18">
        <v>1500</v>
      </c>
      <c r="B3" s="18">
        <v>6</v>
      </c>
      <c r="C3" s="18" t="inlineStr">
        <is>
          <t>Hộp 50x50</t>
        </is>
      </c>
      <c r="D3" s="18" t="inlineStr">
        <is>
          <t>Xà ngang</t>
        </is>
      </c>
      <c r="E3" s="18">
        <v>0</v>
      </c>
    </row>
    <row r="4">
      <c r="A4" s="18">
        <v>1200</v>
      </c>
      <c r="B4" s="18">
        <v>10</v>
      </c>
      <c r="C4" s="18" t="inlineStr">
        <is>
          <t>Hộp 50x50</t>
        </is>
      </c>
      <c r="D4" s="18" t="inlineStr">
        <is>
          <t>Thanh giằng</t>
        </is>
      </c>
      <c r="E4" s="18">
        <v>0</v>
      </c>
    </row>
    <row r="5">
      <c r="A5" s="18">
        <v>800</v>
      </c>
      <c r="B5" s="18">
        <v>8</v>
      </c>
      <c r="C5" s="18" t="inlineStr">
        <is>
          <t>Hộp 50x50</t>
        </is>
      </c>
      <c r="D5" s="18" t="inlineStr">
        <is>
          <t>Đố</t>
        </is>
      </c>
      <c r="E5" s="18">
        <v>0</v>
      </c>
    </row>
  </sheetData>
  <hyperlinks>
    <hyperlink ref="I1" location="'Index'!A37" display="← Index"/>
  </hyperlink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K3"/>
  <sheetViews>
    <sheetView workbookViewId="0">
      <selection activeCell="A2" sqref="A2:G3"/>
    </sheetView>
  </sheetViews>
  <sheetFormatPr defaultRowHeight="15"/>
  <cols>
    <col min="1" max="1" width="7.00" customWidth="1"/>
    <col min="2" max="2" width="6.50" customWidth="1"/>
    <col min="3" max="3" width="5.00" customWidth="1"/>
    <col min="4" max="4" width="9.00" customWidth="1"/>
    <col min="5" max="5" width="11.50" customWidth="1"/>
    <col min="6" max="6" width="12.00" customWidth="1"/>
    <col min="7" max="7" width="8.50" customWidth="1"/>
    <col min="8" max="8" width="13.50" customWidth="1"/>
    <col min="9" max="9" width="13.50" customWidth="1"/>
    <col min="11" max="11" width="12.00" customWidth="1"/>
  </cols>
  <sheetData>
    <row r="1">
      <c r="A1" s="17" t="inlineStr">
        <is>
          <t>Length</t>
        </is>
      </c>
      <c r="B1" s="17" t="inlineStr">
        <is>
          <t>Width</t>
        </is>
      </c>
      <c r="C1" s="17" t="inlineStr">
        <is>
          <t>Qty</t>
        </is>
      </c>
      <c r="D1" s="17" t="inlineStr">
        <is>
          <t>Material</t>
        </is>
      </c>
      <c r="E1" s="17" t="inlineStr">
        <is>
          <t>Rotate (1/0)</t>
        </is>
      </c>
      <c r="F1" s="17" t="inlineStr">
        <is>
          <t>Label</t>
        </is>
      </c>
      <c r="G1" s="17" t="inlineStr">
        <is>
          <t>Priority</t>
        </is>
      </c>
      <c r="H1" s="17" t="inlineStr">
        <is>
          <t>Band (T B L R)</t>
        </is>
      </c>
      <c r="I1" s="17" t="inlineStr">
        <is>
          <t>Grind (T B L R)</t>
        </is>
      </c>
      <c r="K1" s="106" t="inlineStr">
        <is>
          <t>← Index</t>
        </is>
      </c>
    </row>
    <row r="2">
      <c r="A2" s="18">
        <v>1450</v>
      </c>
      <c r="B2" s="18">
        <v>900</v>
      </c>
      <c r="C2" s="18">
        <v>22</v>
      </c>
      <c r="D2" s="18" t="inlineStr">
        <is>
          <t>KINH8</t>
        </is>
      </c>
      <c r="E2" s="18">
        <v>0</v>
      </c>
      <c r="F2" s="18" t="inlineStr">
        <is>
          <t>Grid A</t>
        </is>
      </c>
      <c r="G2" s="18">
        <v>0</v>
      </c>
    </row>
    <row r="3">
      <c r="A3" s="18">
        <v>1450</v>
      </c>
      <c r="B3" s="18">
        <v>600</v>
      </c>
      <c r="C3" s="18">
        <v>14</v>
      </c>
      <c r="D3" s="18" t="inlineStr">
        <is>
          <t>KINH8</t>
        </is>
      </c>
      <c r="E3" s="18">
        <v>0</v>
      </c>
      <c r="F3" s="18" t="inlineStr">
        <is>
          <t>Grid B</t>
        </is>
      </c>
      <c r="G3" s="18">
        <v>0</v>
      </c>
    </row>
  </sheetData>
  <hyperlinks>
    <hyperlink ref="K1" location="'Index'!A38" display="← Index"/>
  </hyperlink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H9"/>
  <sheetViews>
    <sheetView workbookViewId="0">
      <selection activeCell="A4" sqref="A4:F9"/>
    </sheetView>
  </sheetViews>
  <sheetFormatPr defaultRowHeight="15"/>
  <cols>
    <col min="1" max="1" width="4.00" customWidth="1"/>
    <col min="2" max="2" width="34.00" customWidth="1"/>
    <col min="3" max="3" width="11.00" customWidth="1"/>
    <col min="4" max="4" width="11.00" customWidth="1"/>
    <col min="5" max="5" width="11.00" customWidth="1"/>
    <col min="6" max="6" width="23.00" customWidth="1"/>
    <col min="8" max="8" width="12.00" customWidth="1"/>
  </cols>
  <sheetData>
    <row r="1">
      <c r="A1" s="1" t="inlineStr">
        <is>
          <t>WORK ITEMS – 9-STOREY OFFICE BUILDING</t>
        </is>
      </c>
      <c r="H1" s="106" t="inlineStr">
        <is>
          <t>← Index</t>
        </is>
      </c>
    </row>
    <row r="2">
      <c r="B2" s="23" t="inlineStr">
        <is>
          <t>Diary period from:</t>
        </is>
      </c>
      <c r="C2" s="24">
        <v>46328</v>
      </c>
      <c r="D2" s="23" t="inlineStr">
        <is>
          <t>to:</t>
        </is>
      </c>
      <c r="E2" s="24">
        <v>46334</v>
      </c>
    </row>
    <row r="4">
      <c r="A4" s="3" t="inlineStr">
        <is>
          <t>TT</t>
        </is>
      </c>
      <c r="B4" s="3" t="inlineStr">
        <is>
          <t>Work description</t>
        </is>
      </c>
      <c r="C4" s="3" t="inlineStr">
        <is>
          <t>Start</t>
        </is>
      </c>
      <c r="D4" s="3" t="inlineStr">
        <is>
          <t>Finish</t>
        </is>
      </c>
      <c r="E4" s="3" t="inlineStr">
        <is>
          <t>Accepted</t>
        </is>
      </c>
      <c r="F4" s="3" t="inlineStr">
        <is>
          <t>Rest days</t>
        </is>
      </c>
    </row>
    <row r="5">
      <c r="A5" s="6">
        <v>1</v>
      </c>
      <c r="B5" s="4" t="inlineStr">
        <is>
          <t>Level 5 column reinforcement</t>
        </is>
      </c>
      <c r="C5" s="12">
        <v>46328</v>
      </c>
      <c r="D5" s="12">
        <v>46329</v>
      </c>
      <c r="E5" s="12">
        <v>46330</v>
      </c>
      <c r="F5" s="4"/>
    </row>
    <row r="6">
      <c r="A6" s="6">
        <v>2</v>
      </c>
      <c r="B6" s="4" t="inlineStr">
        <is>
          <t>Level 5 column formwork</t>
        </is>
      </c>
      <c r="C6" s="12">
        <v>46329</v>
      </c>
      <c r="D6" s="12">
        <v>46330</v>
      </c>
      <c r="E6" s="12">
        <v>46330</v>
      </c>
      <c r="F6" s="4"/>
    </row>
    <row r="7">
      <c r="A7" s="6">
        <v>3</v>
      </c>
      <c r="B7" s="4" t="inlineStr">
        <is>
          <t>Level 5 column concrete pour</t>
        </is>
      </c>
      <c r="C7" s="12">
        <v>46331</v>
      </c>
      <c r="D7" s="12">
        <v>46331</v>
      </c>
      <c r="E7" s="12">
        <v>46332</v>
      </c>
      <c r="F7" s="4"/>
    </row>
    <row r="8">
      <c r="A8" s="6">
        <v>4</v>
      </c>
      <c r="B8" s="4" t="inlineStr">
        <is>
          <t>Level 6 beam &amp; slab formwork</t>
        </is>
      </c>
      <c r="C8" s="12">
        <v>46332</v>
      </c>
      <c r="D8" s="12">
        <v>46334</v>
      </c>
      <c r="E8" s="12">
        <v>46335</v>
      </c>
      <c r="F8" s="4"/>
    </row>
    <row r="9">
      <c r="A9" s="6">
        <v>5</v>
      </c>
      <c r="B9" s="4" t="inlineStr">
        <is>
          <t>Level 3 perimeter block wall</t>
        </is>
      </c>
      <c r="C9" s="12">
        <v>46328</v>
      </c>
      <c r="D9" s="12">
        <v>46334</v>
      </c>
      <c r="E9" s="12">
        <v>46336</v>
      </c>
      <c r="F9" s="4" t="inlineStr">
        <is>
          <t>04/11/2026+06/11/2026</t>
        </is>
      </c>
    </row>
  </sheetData>
  <hyperlinks>
    <hyperlink ref="H1" location="'Index'!A39" display="← Index"/>
  </hyperlink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I9"/>
  <sheetViews>
    <sheetView workbookViewId="0">
      <selection activeCell="A4" sqref="A4:G9"/>
    </sheetView>
  </sheetViews>
  <sheetFormatPr defaultRowHeight="15"/>
  <cols>
    <col min="1" max="1" width="5.00" customWidth="1"/>
    <col min="2" max="2" width="8.00" customWidth="1"/>
    <col min="3" max="3" width="28.00" customWidth="1"/>
    <col min="4" max="4" width="15.00" customWidth="1"/>
    <col min="5" max="5" width="11.00" customWidth="1"/>
    <col min="6" max="6" width="11.00" customWidth="1"/>
    <col min="7" max="7" width="16.00" customWidth="1"/>
    <col min="9" max="9" width="12.00" customWidth="1"/>
  </cols>
  <sheetData>
    <row r="1">
      <c r="A1" s="1" t="inlineStr">
        <is>
          <t>ACCEPTANCE RECORD LOG – 9-STOREY OFFICE BUILDING</t>
        </is>
      </c>
      <c r="I1" s="106" t="inlineStr">
        <is>
          <t>← Index</t>
        </is>
      </c>
    </row>
    <row r="3">
      <c r="A3" s="3" t="inlineStr">
        <is>
          <t>STT</t>
        </is>
      </c>
      <c r="B3" s="3" t="inlineStr">
        <is>
          <t>Code</t>
        </is>
      </c>
      <c r="C3" s="3" t="inlineStr">
        <is>
          <t>Work item</t>
        </is>
      </c>
      <c r="D3" s="3" t="inlineStr">
        <is>
          <t>Location</t>
        </is>
      </c>
      <c r="E3" s="3" t="inlineStr">
        <is>
          <t>Accepted</t>
        </is>
      </c>
      <c r="F3" s="3" t="inlineStr">
        <is>
          <t>Record no.</t>
        </is>
      </c>
      <c r="G3" s="3" t="inlineStr">
        <is>
          <t>Note</t>
        </is>
      </c>
    </row>
    <row r="4">
      <c r="A4" s="25" t="inlineStr">
        <is>
          <t>A. SUBSTRUCTURE</t>
        </is>
      </c>
      <c r="B4" s="4"/>
      <c r="C4" s="4"/>
      <c r="D4" s="4"/>
      <c r="E4" s="4"/>
      <c r="F4" s="4"/>
      <c r="G4" s="4"/>
    </row>
    <row r="5">
      <c r="A5" s="6">
        <v>1</v>
      </c>
      <c r="B5" s="4" t="inlineStr">
        <is>
          <t>DD-01</t>
        </is>
      </c>
      <c r="C5" s="4" t="inlineStr">
        <is>
          <t>Excavation, footings F1–F6</t>
        </is>
      </c>
      <c r="D5" s="4" t="inlineStr">
        <is>
          <t>Grid 1–3 / A–C</t>
        </is>
      </c>
      <c r="E5" s="12">
        <v>46304</v>
      </c>
      <c r="F5" s="4" t="inlineStr">
        <is>
          <t>NTCV-001</t>
        </is>
      </c>
      <c r="G5" s="4"/>
    </row>
    <row r="6">
      <c r="A6" s="6">
        <v>2</v>
      </c>
      <c r="B6" s="4" t="inlineStr">
        <is>
          <t>BTL-01</t>
        </is>
      </c>
      <c r="C6" s="4" t="inlineStr">
        <is>
          <t>Blinding concrete, F1–F6</t>
        </is>
      </c>
      <c r="D6" s="4" t="inlineStr">
        <is>
          <t>Grid 1–3 / A–C</t>
        </is>
      </c>
      <c r="E6" s="12">
        <v>46306</v>
      </c>
      <c r="F6" s="4" t="inlineStr">
        <is>
          <t>NTCV-002</t>
        </is>
      </c>
      <c r="G6" s="4"/>
    </row>
    <row r="7">
      <c r="A7" s="6">
        <v>3</v>
      </c>
      <c r="B7" s="4" t="inlineStr">
        <is>
          <t>CT-01</t>
        </is>
      </c>
      <c r="C7" s="4" t="inlineStr">
        <is>
          <t>Footing reinforcement, F1–F6</t>
        </is>
      </c>
      <c r="D7" s="4" t="inlineStr">
        <is>
          <t>Grid 1–3 / A–C</t>
        </is>
      </c>
      <c r="E7" s="12">
        <v>46310</v>
      </c>
      <c r="F7" s="4" t="inlineStr">
        <is>
          <t>NTCV-003</t>
        </is>
      </c>
      <c r="G7" s="4"/>
    </row>
    <row r="8">
      <c r="A8" s="6">
        <v>4</v>
      </c>
      <c r="B8" s="4" t="inlineStr">
        <is>
          <t>VK-01</t>
        </is>
      </c>
      <c r="C8" s="4" t="inlineStr">
        <is>
          <t>Footing formwork, F1–F6</t>
        </is>
      </c>
      <c r="D8" s="4" t="inlineStr">
        <is>
          <t>Grid 1–3 / A–C</t>
        </is>
      </c>
      <c r="E8" s="12">
        <v>46311</v>
      </c>
      <c r="F8" s="4" t="inlineStr">
        <is>
          <t>NTCV-004</t>
        </is>
      </c>
      <c r="G8" s="4"/>
    </row>
    <row r="9">
      <c r="A9" s="6">
        <v>5</v>
      </c>
      <c r="B9" s="4" t="inlineStr">
        <is>
          <t>BT-01</t>
        </is>
      </c>
      <c r="C9" s="4" t="inlineStr">
        <is>
          <t>Footing concrete F1–F6 (B25)</t>
        </is>
      </c>
      <c r="D9" s="4" t="inlineStr">
        <is>
          <t>Grid 1–3 / A–C</t>
        </is>
      </c>
      <c r="E9" s="12">
        <v>46313</v>
      </c>
      <c r="F9" s="4" t="inlineStr">
        <is>
          <t>NTCV-005</t>
        </is>
      </c>
      <c r="G9" s="4" t="inlineStr">
        <is>
          <t>3 sample sets</t>
        </is>
      </c>
    </row>
  </sheetData>
  <hyperlinks>
    <hyperlink ref="I1" location="'Index'!A40" display="← Index"/>
  </hyperlink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H9"/>
  <sheetViews>
    <sheetView workbookViewId="0">
      <selection activeCell="F9" sqref="F9"/>
    </sheetView>
  </sheetViews>
  <sheetFormatPr defaultRowHeight="15"/>
  <cols>
    <col min="1" max="1" width="4.00" customWidth="1"/>
    <col min="2" max="2" width="34.00" customWidth="1"/>
    <col min="3" max="3" width="11.00" customWidth="1"/>
    <col min="4" max="4" width="11.00" customWidth="1"/>
    <col min="5" max="5" width="11.00" customWidth="1"/>
    <col min="6" max="6" width="23.00" customWidth="1"/>
    <col min="8" max="8" width="12.00" customWidth="1"/>
  </cols>
  <sheetData>
    <row r="1">
      <c r="A1" s="1" t="inlineStr">
        <is>
          <t>WORK ITEMS – 9-STOREY OFFICE BUILDING</t>
        </is>
      </c>
      <c r="H1" s="106" t="inlineStr">
        <is>
          <t>← Index</t>
        </is>
      </c>
    </row>
    <row r="2">
      <c r="B2" s="23" t="inlineStr">
        <is>
          <t>Diary period from:</t>
        </is>
      </c>
      <c r="C2" s="24">
        <v>46328</v>
      </c>
      <c r="D2" s="23" t="inlineStr">
        <is>
          <t>to:</t>
        </is>
      </c>
      <c r="E2" s="24">
        <v>46334</v>
      </c>
    </row>
    <row r="4">
      <c r="A4" s="3" t="inlineStr">
        <is>
          <t>TT</t>
        </is>
      </c>
      <c r="B4" s="3" t="inlineStr">
        <is>
          <t>Work description</t>
        </is>
      </c>
      <c r="C4" s="3" t="inlineStr">
        <is>
          <t>Start</t>
        </is>
      </c>
      <c r="D4" s="3" t="inlineStr">
        <is>
          <t>Finish</t>
        </is>
      </c>
      <c r="E4" s="3" t="inlineStr">
        <is>
          <t>Accepted</t>
        </is>
      </c>
      <c r="F4" s="3" t="inlineStr">
        <is>
          <t>Rest days</t>
        </is>
      </c>
    </row>
    <row r="5">
      <c r="A5" s="6">
        <v>1</v>
      </c>
      <c r="B5" s="4" t="inlineStr">
        <is>
          <t>Level 5 column reinforcement</t>
        </is>
      </c>
      <c r="C5" s="12">
        <v>46328</v>
      </c>
      <c r="D5" s="12">
        <v>46329</v>
      </c>
      <c r="E5" s="12">
        <v>46330</v>
      </c>
      <c r="F5" s="4"/>
    </row>
    <row r="6">
      <c r="A6" s="6">
        <v>2</v>
      </c>
      <c r="B6" s="4" t="inlineStr">
        <is>
          <t>Level 5 column formwork</t>
        </is>
      </c>
      <c r="C6" s="12">
        <v>46329</v>
      </c>
      <c r="D6" s="12">
        <v>46330</v>
      </c>
      <c r="E6" s="12">
        <v>46330</v>
      </c>
      <c r="F6" s="4"/>
    </row>
    <row r="7">
      <c r="A7" s="6">
        <v>3</v>
      </c>
      <c r="B7" s="4" t="inlineStr">
        <is>
          <t>Level 5 column concrete pour</t>
        </is>
      </c>
      <c r="C7" s="12">
        <v>46331</v>
      </c>
      <c r="D7" s="12">
        <v>46331</v>
      </c>
      <c r="E7" s="12">
        <v>46332</v>
      </c>
      <c r="F7" s="4"/>
    </row>
    <row r="8">
      <c r="A8" s="6">
        <v>4</v>
      </c>
      <c r="B8" s="4" t="inlineStr">
        <is>
          <t>Level 6 beam &amp; slab formwork</t>
        </is>
      </c>
      <c r="C8" s="12">
        <v>46332</v>
      </c>
      <c r="D8" s="12">
        <v>46334</v>
      </c>
      <c r="E8" s="12">
        <v>46335</v>
      </c>
      <c r="F8" s="4"/>
    </row>
    <row r="9">
      <c r="A9" s="6">
        <v>5</v>
      </c>
      <c r="B9" s="4" t="inlineStr">
        <is>
          <t>Level 3 perimeter block wall</t>
        </is>
      </c>
      <c r="C9" s="12">
        <v>46328</v>
      </c>
      <c r="D9" s="12">
        <v>46334</v>
      </c>
      <c r="E9" s="12">
        <v>46336</v>
      </c>
      <c r="F9" s="4"/>
    </row>
  </sheetData>
  <hyperlinks>
    <hyperlink ref="H1" location="'Index'!A41" display="← Index"/>
  </hyperlink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E16"/>
  <sheetViews>
    <sheetView workbookViewId="0">
      <selection activeCell="C3" sqref="C3"/>
    </sheetView>
  </sheetViews>
  <sheetFormatPr defaultRowHeight="15"/>
  <cols>
    <col min="1" max="1" width="8.40" customWidth="1"/>
    <col min="2" max="2" width="20.90" customWidth="1"/>
    <col min="3" max="3" width="59.90" customWidth="1"/>
    <col min="5" max="5" width="12.00" customWidth="1"/>
  </cols>
  <sheetData>
    <row r="1">
      <c r="A1" s="26" t="inlineStr">
        <is>
          <t>Mucluc</t>
        </is>
      </c>
      <c r="E1" s="106" t="inlineStr">
        <is>
          <t>← Index</t>
        </is>
      </c>
    </row>
    <row r="2">
      <c r="B2" s="1" t="inlineStr">
        <is>
          <t>THÔNG TIN CHUNG</t>
        </is>
      </c>
    </row>
    <row r="3">
      <c r="B3" s="4" t="inlineStr">
        <is>
          <t>Dự án</t>
        </is>
      </c>
      <c r="C3" s="27" t="inlineStr">
        <is>
          <t>Đầu tư xây dựng Nhà văn phòng 9 tầng</t>
        </is>
      </c>
    </row>
    <row r="4">
      <c r="B4" s="4" t="inlineStr">
        <is>
          <t>Công trình</t>
        </is>
      </c>
      <c r="C4" s="27" t="inlineStr">
        <is>
          <t>Nhà văn phòng 9 tầng</t>
        </is>
      </c>
    </row>
    <row r="5">
      <c r="B5" s="4" t="inlineStr">
        <is>
          <t>Địa điểm</t>
        </is>
      </c>
      <c r="C5" s="27" t="inlineStr">
        <is>
          <t>Phường Dịch Vọng, Quận Cầu Giấy, TP Hà Nội</t>
        </is>
      </c>
    </row>
    <row r="6">
      <c r="B6" s="4" t="inlineStr">
        <is>
          <t>Tỉnh thành</t>
        </is>
      </c>
      <c r="C6" s="27" t="inlineStr">
        <is>
          <t>Hà Nội</t>
        </is>
      </c>
    </row>
    <row r="7">
      <c r="B7" s="4" t="inlineStr">
        <is>
          <t>Hợp đồng</t>
        </is>
      </c>
      <c r="C7" s="27" t="inlineStr">
        <is>
          <t>15/2026/HĐTC-XL02</t>
        </is>
      </c>
    </row>
    <row r="8">
      <c r="B8" s="4" t="inlineStr">
        <is>
          <t>Ngày ký hợp đồng</t>
        </is>
      </c>
      <c r="C8" s="28">
        <v>46188</v>
      </c>
    </row>
    <row r="9">
      <c r="B9" s="4" t="inlineStr">
        <is>
          <t>Phụ lục hợp đồng</t>
        </is>
      </c>
      <c r="C9" s="4"/>
    </row>
    <row r="10">
      <c r="B10" s="4" t="inlineStr">
        <is>
          <t>Ngày ký PLHĐ</t>
        </is>
      </c>
      <c r="C10" s="4"/>
    </row>
    <row r="11">
      <c r="B11" s="4" t="inlineStr">
        <is>
          <t>Gói thầu</t>
        </is>
      </c>
      <c r="C11" s="27" t="inlineStr">
        <is>
          <t>XL-02: Thi công xây dựng phần thân</t>
        </is>
      </c>
    </row>
    <row r="12">
      <c r="B12" s="4" t="inlineStr">
        <is>
          <t>Chủ đầu tư</t>
        </is>
      </c>
      <c r="C12" s="27" t="inlineStr">
        <is>
          <t>Công ty CP Đầu tư PQR</t>
        </is>
      </c>
    </row>
    <row r="13">
      <c r="B13" s="4" t="inlineStr">
        <is>
          <t>Tư vấn thiết kế</t>
        </is>
      </c>
      <c r="C13" s="27" t="inlineStr">
        <is>
          <t>Công ty CP Tư vấn Thiết kế MNO</t>
        </is>
      </c>
    </row>
    <row r="14">
      <c r="B14" s="4" t="inlineStr">
        <is>
          <t>Tư vấn giám sát</t>
        </is>
      </c>
      <c r="C14" s="27" t="inlineStr">
        <is>
          <t>Công ty Tư vấn ABC</t>
        </is>
      </c>
    </row>
    <row r="15">
      <c r="B15" s="4" t="inlineStr">
        <is>
          <t>Nhà thầu thi công</t>
        </is>
      </c>
      <c r="C15" s="27" t="inlineStr">
        <is>
          <t>Công ty Xây dựng XYZ</t>
        </is>
      </c>
    </row>
    <row r="16">
      <c r="B16" s="4" t="inlineStr">
        <is>
          <t>Giấy phép xây dựng</t>
        </is>
      </c>
      <c r="C16" s="27" t="inlineStr">
        <is>
          <t>125/GPXD</t>
        </is>
      </c>
    </row>
  </sheetData>
  <hyperlinks>
    <hyperlink ref="E1" location="'Index'!A42" display="← Index"/>
  </hyperlink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E16"/>
  <sheetViews>
    <sheetView workbookViewId="0">
      <selection activeCell="C3" sqref="C3"/>
    </sheetView>
  </sheetViews>
  <sheetFormatPr defaultRowHeight="15"/>
  <cols>
    <col min="1" max="1" width="8.40" customWidth="1"/>
    <col min="2" max="2" width="26.90" customWidth="1"/>
    <col min="3" max="3" width="52.00" customWidth="1"/>
    <col min="5" max="5" width="12.00" customWidth="1"/>
  </cols>
  <sheetData>
    <row r="1">
      <c r="A1" s="26" t="inlineStr">
        <is>
          <t>Mucluc</t>
        </is>
      </c>
      <c r="E1" s="106" t="inlineStr">
        <is>
          <t>← Index</t>
        </is>
      </c>
    </row>
    <row r="2">
      <c r="B2" s="1" t="inlineStr">
        <is>
          <t>THÔNG TIN CHUNG</t>
        </is>
      </c>
    </row>
    <row r="3">
      <c r="B3" s="4" t="inlineStr">
        <is>
          <t>Dự án</t>
        </is>
      </c>
      <c r="C3" s="27" t="inlineStr">
        <is>
          <t>Đầu tư xây dựng Nhà văn phòng 9 tầng</t>
        </is>
      </c>
    </row>
    <row r="4">
      <c r="B4" s="4" t="inlineStr">
        <is>
          <t>Công trình</t>
        </is>
      </c>
      <c r="C4" s="27" t="inlineStr">
        <is>
          <t>Nhà văn phòng 9 tầng</t>
        </is>
      </c>
    </row>
    <row r="5">
      <c r="B5" s="4" t="inlineStr">
        <is>
          <t>Địa điểm</t>
        </is>
      </c>
      <c r="C5" s="27" t="inlineStr">
        <is>
          <t>Phường Dịch Vọng, Quận Cầu Giấy, TP Hà Nội</t>
        </is>
      </c>
    </row>
    <row r="6">
      <c r="B6" s="4" t="inlineStr">
        <is>
          <t>Tỉnh thành</t>
        </is>
      </c>
      <c r="C6" s="27" t="inlineStr">
        <is>
          <t>Hà Nội</t>
        </is>
      </c>
    </row>
    <row r="7">
      <c r="B7" s="4" t="inlineStr">
        <is>
          <t>Hợp đồng</t>
        </is>
      </c>
      <c r="C7" s="27" t="inlineStr">
        <is>
          <t>15/2026/HĐTC-XL02</t>
        </is>
      </c>
    </row>
    <row r="8">
      <c r="B8" s="4" t="inlineStr">
        <is>
          <t>Ngày ký hợp đồng</t>
        </is>
      </c>
      <c r="C8" s="28">
        <v>46188</v>
      </c>
    </row>
    <row r="9">
      <c r="B9" s="4" t="inlineStr">
        <is>
          <t>Phụ lục hợp đồng</t>
        </is>
      </c>
      <c r="C9" s="4"/>
    </row>
    <row r="10">
      <c r="B10" s="4" t="inlineStr">
        <is>
          <t>Ngày ký PLHĐ</t>
        </is>
      </c>
      <c r="C10" s="4"/>
    </row>
    <row r="11">
      <c r="B11" s="4" t="inlineStr">
        <is>
          <t>Gói thầu</t>
        </is>
      </c>
      <c r="C11" s="27" t="inlineStr">
        <is>
          <t>XL-02: Thi công xây dựng phần thân</t>
        </is>
      </c>
    </row>
    <row r="12">
      <c r="B12" s="4" t="inlineStr">
        <is>
          <t>Chủ đầu tư</t>
        </is>
      </c>
      <c r="C12" s="27" t="inlineStr">
        <is>
          <t>Công ty CP Đầu tư PQR</t>
        </is>
      </c>
    </row>
    <row r="13">
      <c r="B13" s="4" t="inlineStr">
        <is>
          <t>Tư vấn thiết kế</t>
        </is>
      </c>
      <c r="C13" s="27" t="inlineStr">
        <is>
          <t>Công ty CP Tư vấn Thiết kế MNO</t>
        </is>
      </c>
    </row>
    <row r="14">
      <c r="B14" s="4" t="inlineStr">
        <is>
          <t>Tư vấn giám sát</t>
        </is>
      </c>
      <c r="C14" s="27" t="inlineStr">
        <is>
          <t>Công ty Tư vấn ABC</t>
        </is>
      </c>
    </row>
    <row r="15">
      <c r="B15" s="4" t="inlineStr">
        <is>
          <t>Nhà thầu thi công</t>
        </is>
      </c>
      <c r="C15" s="27" t="inlineStr">
        <is>
          <t>Công ty Xây dựng XYZ</t>
        </is>
      </c>
    </row>
    <row r="16">
      <c r="B16" s="4" t="inlineStr">
        <is>
          <t>Giấy phép xây dựng</t>
        </is>
      </c>
      <c r="C16" s="27" t="inlineStr">
        <is>
          <t>125/GPXD</t>
        </is>
      </c>
    </row>
  </sheetData>
  <hyperlinks>
    <hyperlink ref="E1" location="'Index'!A43" display="← Index"/>
  </hyperlink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K16"/>
  <sheetViews>
    <sheetView workbookViewId="0">
      <selection activeCell="F2" sqref="F2:I2"/>
    </sheetView>
  </sheetViews>
  <sheetFormatPr defaultRowHeight="15"/>
  <cols>
    <col min="1" max="1" width="3.00" customWidth="1"/>
    <col min="2" max="2" width="8.80" customWidth="1"/>
    <col min="3" max="3" width="14.60" customWidth="1"/>
    <col min="4" max="4" width="18.30" customWidth="1"/>
    <col min="5" max="5" width="12.00" customWidth="1"/>
    <col min="6" max="6" width="11.00" customWidth="1"/>
    <col min="7" max="7" width="11.20" customWidth="1"/>
    <col min="8" max="8" width="13.30" customWidth="1"/>
    <col min="9" max="9" width="12.00" customWidth="1"/>
    <col min="11" max="11" width="12.00" customWidth="1"/>
  </cols>
  <sheetData>
    <row r="1" ht="25.50" customHeight="1">
      <c r="B1" s="29" t="inlineStr">
        <is>
          <t>NHẬT KÝ CÔNG TRÌNH</t>
        </is>
      </c>
      <c r="K1" s="106" t="inlineStr">
        <is>
          <t>← Index</t>
        </is>
      </c>
    </row>
    <row r="2">
      <c r="F2" s="30" t="str">
        <f>DATA!$B$3</f>
        <v>Tỉnh/TP, ngày 05 tháng 11 năm 2026</v>
      </c>
    </row>
    <row r="3">
      <c r="B3" s="1" t="inlineStr">
        <is>
          <t>I. Điều kiện thời tiết:</t>
        </is>
      </c>
      <c r="D3" s="18" t="inlineStr">
        <is>
          <t>Nắng</t>
        </is>
      </c>
      <c r="H3" s="18" t="inlineStr">
        <is>
          <t>Nhiệt độ TB:</t>
        </is>
      </c>
      <c r="I3" s="18">
        <v>28</v>
      </c>
    </row>
    <row r="4">
      <c r="B4" s="1" t="inlineStr">
        <is>
          <t>II. Nhân lực, máy móc thiết bị:</t>
        </is>
      </c>
    </row>
    <row r="6">
      <c r="B6" s="31" t="inlineStr">
        <is>
          <t>Nhân lực</t>
        </is>
      </c>
      <c r="C6" s="4"/>
      <c r="D6" s="4"/>
      <c r="E6" s="31" t="inlineStr">
        <is>
          <t>Số lượng</t>
        </is>
      </c>
      <c r="F6" s="31" t="inlineStr">
        <is>
          <t>Máy móc thiết bị</t>
        </is>
      </c>
      <c r="G6" s="4"/>
      <c r="H6" s="4"/>
      <c r="I6" s="31" t="inlineStr">
        <is>
          <t>Số lượng</t>
        </is>
      </c>
    </row>
    <row r="7">
      <c r="B7" s="4" t="inlineStr">
        <is>
          <t>Chỉ huy công trường</t>
        </is>
      </c>
      <c r="C7" s="4"/>
      <c r="D7" s="4"/>
      <c r="E7" s="6">
        <v>1</v>
      </c>
      <c r="F7" s="4" t="inlineStr">
        <is>
          <t>Máy ép cọc</t>
        </is>
      </c>
      <c r="G7" s="4"/>
      <c r="H7" s="4"/>
      <c r="I7" s="4"/>
    </row>
    <row r="8">
      <c r="B8" s="4" t="inlineStr">
        <is>
          <t>Kỹ sư</t>
        </is>
      </c>
      <c r="C8" s="4"/>
      <c r="D8" s="4"/>
      <c r="E8" s="6">
        <v>4</v>
      </c>
      <c r="F8" s="4" t="inlineStr">
        <is>
          <t>Xe đào</t>
        </is>
      </c>
      <c r="G8" s="4"/>
      <c r="H8" s="4"/>
      <c r="I8" s="6">
        <v>1</v>
      </c>
    </row>
    <row r="9">
      <c r="B9" s="4" t="inlineStr">
        <is>
          <t>Cán bộ ATLĐ&amp;VSMT</t>
        </is>
      </c>
      <c r="C9" s="4"/>
      <c r="D9" s="4"/>
      <c r="E9" s="6">
        <v>1</v>
      </c>
      <c r="F9" s="4" t="inlineStr">
        <is>
          <t>Xe ủi</t>
        </is>
      </c>
      <c r="G9" s="4"/>
      <c r="H9" s="4"/>
      <c r="I9" s="4"/>
    </row>
    <row r="10">
      <c r="B10" s="4" t="inlineStr">
        <is>
          <t>Thủ kho</t>
        </is>
      </c>
      <c r="C10" s="4"/>
      <c r="D10" s="4"/>
      <c r="E10" s="6">
        <v>1</v>
      </c>
      <c r="F10" s="4" t="inlineStr">
        <is>
          <t>Xe lu</t>
        </is>
      </c>
      <c r="G10" s="4"/>
      <c r="H10" s="4"/>
      <c r="I10" s="4"/>
    </row>
    <row r="11">
      <c r="B11" s="4" t="inlineStr">
        <is>
          <t>Bảo vệ</t>
        </is>
      </c>
      <c r="C11" s="4"/>
      <c r="D11" s="4"/>
      <c r="E11" s="6">
        <v>2</v>
      </c>
      <c r="F11" s="4" t="inlineStr">
        <is>
          <t>Máy trộn</t>
        </is>
      </c>
      <c r="G11" s="4"/>
      <c r="H11" s="4"/>
      <c r="I11" s="6">
        <v>1</v>
      </c>
    </row>
    <row r="12">
      <c r="B12" s="4" t="inlineStr">
        <is>
          <t>Công nhân</t>
        </is>
      </c>
      <c r="C12" s="4"/>
      <c r="D12" s="4"/>
      <c r="E12" s="6">
        <v>45</v>
      </c>
      <c r="F12" s="4" t="inlineStr">
        <is>
          <t>Máy trắc đạc</t>
        </is>
      </c>
      <c r="G12" s="4"/>
      <c r="H12" s="4"/>
      <c r="I12" s="6">
        <v>1</v>
      </c>
    </row>
    <row r="13">
      <c r="B13" s="4"/>
      <c r="C13" s="4"/>
      <c r="D13" s="4"/>
      <c r="E13" s="4"/>
      <c r="F13" s="4" t="inlineStr">
        <is>
          <t>Máy laser</t>
        </is>
      </c>
      <c r="G13" s="4"/>
      <c r="H13" s="4"/>
      <c r="I13" s="6">
        <v>1</v>
      </c>
    </row>
    <row r="15">
      <c r="B15" s="1" t="inlineStr">
        <is>
          <t>III. Nội dung công việc thực hiện trong ngày :</t>
        </is>
      </c>
    </row>
    <row r="16">
      <c r="B16" s="18" t="inlineStr">
        <is>
          <t>1. Vật tư, vật liệu ra vào công trường:</t>
        </is>
      </c>
    </row>
  </sheetData>
  <mergeCells count="18">
    <mergeCell ref="B1:I1"/>
    <mergeCell ref="F2:I2"/>
    <mergeCell ref="B6:D6"/>
    <mergeCell ref="F6:H6"/>
    <mergeCell ref="B7:D7"/>
    <mergeCell ref="B8:D8"/>
    <mergeCell ref="B9:D9"/>
    <mergeCell ref="B10:D10"/>
    <mergeCell ref="B11:D11"/>
    <mergeCell ref="B12:D12"/>
    <mergeCell ref="B13:D13"/>
    <mergeCell ref="F7:H7"/>
    <mergeCell ref="F8:H8"/>
    <mergeCell ref="F9:H9"/>
    <mergeCell ref="F10:H10"/>
    <mergeCell ref="F11:H11"/>
    <mergeCell ref="F12:H12"/>
    <mergeCell ref="F13:H13"/>
  </mergeCells>
  <hyperlinks>
    <hyperlink ref="K1" location="'Index'!A44" display="← Index"/>
  </hyperlink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D3"/>
  <sheetViews>
    <sheetView workbookViewId="0"/>
  </sheetViews>
  <sheetFormatPr defaultRowHeight="15"/>
  <cols>
    <col min="1" max="1" width="16.00" customWidth="1"/>
    <col min="2" max="2" width="40.00" customWidth="1"/>
    <col min="4" max="4" width="12.00" customWidth="1"/>
  </cols>
  <sheetData>
    <row r="1">
      <c r="D1" s="106" t="inlineStr">
        <is>
          <t>← Index</t>
        </is>
      </c>
    </row>
    <row r="3">
      <c r="A3" s="1" t="inlineStr">
        <is>
          <t>Date line</t>
        </is>
      </c>
      <c r="B3" s="18" t="inlineStr">
        <is>
          <t>Tỉnh/TP, ngày 05 tháng 11 năm 2026</t>
        </is>
      </c>
    </row>
  </sheetData>
  <hyperlinks>
    <hyperlink ref="D1" location="'Index'!A44" display="← Index"/>
  </hyperlink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F8"/>
  <sheetViews>
    <sheetView workbookViewId="0">
      <selection activeCell="B4" sqref="B4:B8"/>
    </sheetView>
  </sheetViews>
  <sheetFormatPr defaultRowHeight="15"/>
  <cols>
    <col min="1" max="1" width="5.00" customWidth="1"/>
    <col min="2" max="2" width="30.00" customWidth="1"/>
    <col min="3" max="3" width="7.00" customWidth="1"/>
    <col min="4" max="4" width="11.00" customWidth="1"/>
    <col min="6" max="6" width="12.00" customWidth="1"/>
  </cols>
  <sheetData>
    <row r="1">
      <c r="A1" s="1" t="inlineStr">
        <is>
          <t>FOUNDATION MATERIAL QUANTITIES</t>
        </is>
      </c>
      <c r="F1" s="106" t="inlineStr">
        <is>
          <t>← Index</t>
        </is>
      </c>
    </row>
    <row r="3">
      <c r="A3" s="3" t="inlineStr">
        <is>
          <t>TT</t>
        </is>
      </c>
      <c r="B3" s="3" t="inlineStr">
        <is>
          <t>Item</t>
        </is>
      </c>
      <c r="C3" s="3" t="inlineStr">
        <is>
          <t>Unit</t>
        </is>
      </c>
      <c r="D3" s="3" t="inlineStr">
        <is>
          <t>Quantity</t>
        </is>
      </c>
    </row>
    <row r="4">
      <c r="A4" s="6">
        <v>1</v>
      </c>
      <c r="B4" s="4" t="inlineStr">
        <is>
          <t>Bê tông thương phẩm M300</t>
        </is>
      </c>
      <c r="C4" s="6" t="inlineStr">
        <is>
          <t>m³</t>
        </is>
      </c>
      <c r="D4" s="32">
        <v>286.5</v>
      </c>
    </row>
    <row r="5">
      <c r="A5" s="6">
        <v>2</v>
      </c>
      <c r="B5" s="4" t="inlineStr">
        <is>
          <t>Thép CB400-V</t>
        </is>
      </c>
      <c r="C5" s="6" t="inlineStr">
        <is>
          <t>t</t>
        </is>
      </c>
      <c r="D5" s="32">
        <v>34.2</v>
      </c>
    </row>
    <row r="6">
      <c r="A6" s="6">
        <v>3</v>
      </c>
      <c r="B6" s="4" t="inlineStr">
        <is>
          <t>Xi măng PCB40</t>
        </is>
      </c>
      <c r="C6" s="6" t="inlineStr">
        <is>
          <t>t</t>
        </is>
      </c>
      <c r="D6" s="32">
        <v>18</v>
      </c>
    </row>
    <row r="7">
      <c r="A7" s="6">
        <v>4</v>
      </c>
      <c r="B7" s="4" t="inlineStr">
        <is>
          <t>Cát vàng xây trát</t>
        </is>
      </c>
      <c r="C7" s="6" t="inlineStr">
        <is>
          <t>m³</t>
        </is>
      </c>
      <c r="D7" s="32">
        <v>42</v>
      </c>
    </row>
    <row r="8">
      <c r="A8" s="6">
        <v>5</v>
      </c>
      <c r="B8" s="4" t="inlineStr">
        <is>
          <t>Gạch rỗng 2 lỗ tuynel</t>
        </is>
      </c>
      <c r="C8" s="6" t="inlineStr">
        <is>
          <t>pcs</t>
        </is>
      </c>
      <c r="D8" s="33">
        <v>12500</v>
      </c>
    </row>
  </sheetData>
  <hyperlinks>
    <hyperlink ref="F1" location="'Index'!A45" display="← Index"/>
  </hyperlink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G9"/>
  <sheetViews>
    <sheetView workbookViewId="0">
      <selection activeCell="B4" sqref="B4"/>
    </sheetView>
  </sheetViews>
  <sheetFormatPr defaultRowHeight="15"/>
  <cols>
    <col min="1" max="1" width="8.00" customWidth="1"/>
    <col min="2" max="2" width="34.00" customWidth="1"/>
    <col min="3" max="3" width="11.00" customWidth="1"/>
    <col min="4" max="4" width="11.00" customWidth="1"/>
    <col min="5" max="5" width="10.00" customWidth="1"/>
    <col min="7" max="7" width="12.00" customWidth="1"/>
  </cols>
  <sheetData>
    <row r="1">
      <c r="A1" s="1" t="inlineStr">
        <is>
          <t>SUBSTRUCTURE SCHEDULE – 9-STOREY OFFICE BUILDING</t>
        </is>
      </c>
      <c r="G1" s="106" t="inlineStr">
        <is>
          <t>← Index</t>
        </is>
      </c>
    </row>
    <row r="3">
      <c r="A3" s="3" t="inlineStr">
        <is>
          <t>Activity ID</t>
        </is>
      </c>
      <c r="B3" s="3" t="inlineStr">
        <is>
          <t>Task Name</t>
        </is>
      </c>
      <c r="C3" s="3" t="inlineStr">
        <is>
          <t>Start</t>
        </is>
      </c>
      <c r="D3" s="3" t="inlineStr">
        <is>
          <t>Finish</t>
        </is>
      </c>
      <c r="E3" s="3" t="inlineStr">
        <is>
          <t>Days</t>
        </is>
      </c>
    </row>
    <row r="4">
      <c r="A4" s="6" t="inlineStr">
        <is>
          <t>1.1</t>
        </is>
      </c>
      <c r="B4" s="4" t="inlineStr">
        <is>
          <t>Excavation of footings</t>
        </is>
      </c>
      <c r="C4" s="12">
        <v>46300</v>
      </c>
      <c r="D4" s="12">
        <v>46304</v>
      </c>
      <c r="E4" s="4">
        <v>5</v>
      </c>
    </row>
    <row r="5">
      <c r="A5" s="6" t="inlineStr">
        <is>
          <t>1.2</t>
        </is>
      </c>
      <c r="B5" s="4" t="inlineStr">
        <is>
          <t>Blinding concrete, footings F1–F6</t>
        </is>
      </c>
      <c r="C5" s="12">
        <v>46305</v>
      </c>
      <c r="D5" s="12">
        <v>46306</v>
      </c>
      <c r="E5" s="4">
        <v>2</v>
      </c>
    </row>
    <row r="6">
      <c r="A6" s="6" t="inlineStr">
        <is>
          <t>1.3</t>
        </is>
      </c>
      <c r="B6" s="4" t="inlineStr">
        <is>
          <t>Footing reinforcement F1–F6</t>
        </is>
      </c>
      <c r="C6" s="12">
        <v>46307</v>
      </c>
      <c r="D6" s="12">
        <v>46310</v>
      </c>
      <c r="E6" s="4">
        <v>4</v>
      </c>
    </row>
    <row r="7">
      <c r="A7" s="6" t="inlineStr">
        <is>
          <t>1.4</t>
        </is>
      </c>
      <c r="B7" s="4" t="inlineStr">
        <is>
          <t>Footing formwork F1–F6</t>
        </is>
      </c>
      <c r="C7" s="12">
        <v>46309</v>
      </c>
      <c r="D7" s="12">
        <v>46311</v>
      </c>
      <c r="E7" s="4">
        <v>3</v>
      </c>
    </row>
    <row r="8">
      <c r="A8" s="6" t="inlineStr">
        <is>
          <t>1.5</t>
        </is>
      </c>
      <c r="B8" s="4" t="inlineStr">
        <is>
          <t>Footing concrete pour F1–F6</t>
        </is>
      </c>
      <c r="C8" s="12">
        <v>46312</v>
      </c>
      <c r="D8" s="12">
        <v>46312</v>
      </c>
      <c r="E8" s="4">
        <v>1</v>
      </c>
    </row>
    <row r="9">
      <c r="A9" s="6" t="inlineStr">
        <is>
          <t>1.6</t>
        </is>
      </c>
      <c r="B9" s="4" t="inlineStr">
        <is>
          <t>Backfilling of footings</t>
        </is>
      </c>
      <c r="C9" s="12">
        <v>46315</v>
      </c>
      <c r="D9" s="12">
        <v>46317</v>
      </c>
      <c r="E9" s="4">
        <v>3</v>
      </c>
    </row>
  </sheetData>
  <hyperlinks>
    <hyperlink ref="G1" location="'Index'!A46" display="← Index"/>
  </hyperlink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L9"/>
  <sheetViews>
    <sheetView workbookViewId="0">
      <selection activeCell="A6" sqref="A6:J7"/>
    </sheetView>
  </sheetViews>
  <sheetFormatPr defaultRowHeight="15"/>
  <cols>
    <col min="1" max="1" width="3.50" customWidth="1"/>
    <col min="2" max="2" width="5.00" customWidth="1"/>
    <col min="3" max="3" width="20.00" customWidth="1"/>
    <col min="4" max="4" width="9.00" customWidth="1"/>
    <col min="5" max="5" width="16.00" customWidth="1"/>
    <col min="6" max="6" width="10.00" customWidth="1"/>
    <col min="7" max="7" width="10.00" customWidth="1"/>
    <col min="8" max="8" width="9.00" customWidth="1"/>
    <col min="9" max="9" width="11.00" customWidth="1"/>
    <col min="10" max="10" width="21.00" customWidth="1"/>
    <col min="12" max="12" width="12.00" customWidth="1"/>
  </cols>
  <sheetData>
    <row r="1" ht="19.50" customHeight="1">
      <c r="A1" s="1" t="inlineStr">
        <is>
          <t>CONSTRUCTION WORK ACCEPTANCE PLAN</t>
        </is>
      </c>
      <c r="L1" s="106" t="inlineStr">
        <is>
          <t>← Index</t>
        </is>
      </c>
    </row>
    <row r="2">
      <c r="A2" s="18" t="inlineStr">
        <is>
          <t>Project: 9-storey office building – Package XL-02          Date: 08/10/2026          Source: schedule 'Schedule'</t>
        </is>
      </c>
    </row>
    <row r="3" ht="54.00" customHeight="1">
      <c r="A3" s="34" t="inlineStr">
        <is>
          <t>No.</t>
        </is>
      </c>
      <c r="B3" s="34" t="inlineStr">
        <is>
          <t>Code</t>
        </is>
      </c>
      <c r="C3" s="34" t="inlineStr">
        <is>
          <t>Work item / acceptance scope</t>
        </is>
      </c>
      <c r="D3" s="34" t="inlineStr">
        <is>
          <t>Acceptance type</t>
        </is>
      </c>
      <c r="E3" s="34" t="inlineStr">
        <is>
          <t>Applicable standard</t>
        </is>
      </c>
      <c r="F3" s="34" t="inlineStr">
        <is>
          <t>Start date</t>
        </is>
      </c>
      <c r="G3" s="34" t="inlineStr">
        <is>
          <t>Planned acceptance</t>
        </is>
      </c>
      <c r="H3" s="34" t="inlineStr">
        <is>
          <t>Inspection parties</t>
        </is>
      </c>
      <c r="I3" s="34" t="inlineStr">
        <is>
          <t>Status</t>
        </is>
      </c>
      <c r="J3" s="34" t="inlineStr">
        <is>
          <t>Note</t>
        </is>
      </c>
    </row>
    <row r="4">
      <c r="A4" s="4">
        <v>1</v>
      </c>
      <c r="B4" s="4" t="inlineStr">
        <is>
          <t>1.1</t>
        </is>
      </c>
      <c r="C4" s="4" t="inlineStr">
        <is>
          <t>Excavation of footings</t>
        </is>
      </c>
      <c r="D4" s="4" t="inlineStr">
        <is>
          <t>Construction work</t>
        </is>
      </c>
      <c r="E4" s="4" t="inlineStr">
        <is>
          <t>TCVN 4447:2012</t>
        </is>
      </c>
      <c r="F4" s="12">
        <v>46300</v>
      </c>
      <c r="G4" s="12">
        <v>46304</v>
      </c>
      <c r="H4" s="4" t="inlineStr">
        <is>
          <t>Client/Supervision consultant; Contractor's technical staff</t>
        </is>
      </c>
      <c r="I4" s="35" t="inlineStr">
        <is>
          <t>Pending</t>
        </is>
      </c>
      <c r="J4" s="4"/>
    </row>
    <row r="5">
      <c r="A5" s="4">
        <v>2</v>
      </c>
      <c r="B5" s="4" t="inlineStr">
        <is>
          <t>1.2</t>
        </is>
      </c>
      <c r="C5" s="4" t="inlineStr">
        <is>
          <t>Blinding concrete, footings F1–F6</t>
        </is>
      </c>
      <c r="D5" s="4" t="inlineStr">
        <is>
          <t>Construction work</t>
        </is>
      </c>
      <c r="E5" s="4" t="inlineStr">
        <is>
          <t>TCVN 4453:1995</t>
        </is>
      </c>
      <c r="F5" s="12">
        <v>46305</v>
      </c>
      <c r="G5" s="12">
        <v>46306</v>
      </c>
      <c r="H5" s="4" t="inlineStr">
        <is>
          <t>Client/Supervision consultant; Contractor's technical staff</t>
        </is>
      </c>
      <c r="I5" s="35" t="inlineStr">
        <is>
          <t>Pending</t>
        </is>
      </c>
      <c r="J5" s="4"/>
    </row>
    <row r="6">
      <c r="A6" s="4">
        <v>3</v>
      </c>
      <c r="B6" s="4" t="inlineStr">
        <is>
          <t>1.3</t>
        </is>
      </c>
      <c r="C6" s="4" t="inlineStr">
        <is>
          <t>Footing reinforcement F1–F6</t>
        </is>
      </c>
      <c r="D6" s="4" t="inlineStr">
        <is>
          <t>Construction work</t>
        </is>
      </c>
      <c r="E6" s="4" t="inlineStr">
        <is>
          <t>TCVN 4453:1995; TCVN 1651-2:2018</t>
        </is>
      </c>
      <c r="F6" s="12">
        <v>46307</v>
      </c>
      <c r="G6" s="12">
        <v>46310</v>
      </c>
      <c r="H6" s="4" t="inlineStr">
        <is>
          <t>Client/Supervision consultant; Contractor's technical staff</t>
        </is>
      </c>
      <c r="I6" s="35" t="inlineStr">
        <is>
          <t>Pending</t>
        </is>
      </c>
      <c r="J6" s="4"/>
    </row>
    <row r="7">
      <c r="A7" s="4">
        <v>4</v>
      </c>
      <c r="B7" s="4" t="inlineStr">
        <is>
          <t>1.4</t>
        </is>
      </c>
      <c r="C7" s="4" t="inlineStr">
        <is>
          <t>Footing formwork F1–F6</t>
        </is>
      </c>
      <c r="D7" s="4" t="inlineStr">
        <is>
          <t>Construction work</t>
        </is>
      </c>
      <c r="E7" s="4" t="inlineStr">
        <is>
          <t>TCVN 4453:1995</t>
        </is>
      </c>
      <c r="F7" s="12">
        <v>46309</v>
      </c>
      <c r="G7" s="12">
        <v>46311</v>
      </c>
      <c r="H7" s="4" t="inlineStr">
        <is>
          <t>Client/Supervision consultant; Contractor's technical staff</t>
        </is>
      </c>
      <c r="I7" s="35" t="inlineStr">
        <is>
          <t>Pending</t>
        </is>
      </c>
      <c r="J7" s="4"/>
    </row>
    <row r="8">
      <c r="A8" s="4">
        <v>5</v>
      </c>
      <c r="B8" s="4" t="inlineStr">
        <is>
          <t>1.5</t>
        </is>
      </c>
      <c r="C8" s="4" t="inlineStr">
        <is>
          <t>Footing concrete pour F1–F6</t>
        </is>
      </c>
      <c r="D8" s="4" t="inlineStr">
        <is>
          <t>Construction work</t>
        </is>
      </c>
      <c r="E8" s="4" t="inlineStr">
        <is>
          <t>TCVN 4453:1995</t>
        </is>
      </c>
      <c r="F8" s="12">
        <v>46312</v>
      </c>
      <c r="G8" s="12">
        <v>46312</v>
      </c>
      <c r="H8" s="4" t="inlineStr">
        <is>
          <t>Client/Supervision consultant; Contractor's technical staff</t>
        </is>
      </c>
      <c r="I8" s="35" t="inlineStr">
        <is>
          <t>Pending</t>
        </is>
      </c>
      <c r="J8" s="4"/>
    </row>
    <row r="9">
      <c r="A9" s="4">
        <v>6</v>
      </c>
      <c r="B9" s="4" t="inlineStr">
        <is>
          <t>1.6</t>
        </is>
      </c>
      <c r="C9" s="4" t="inlineStr">
        <is>
          <t>Backfilling of footings</t>
        </is>
      </c>
      <c r="D9" s="4" t="inlineStr">
        <is>
          <t>Construction work</t>
        </is>
      </c>
      <c r="E9" s="4" t="inlineStr">
        <is>
          <t>TCVN 4447:2012</t>
        </is>
      </c>
      <c r="F9" s="12">
        <v>46315</v>
      </c>
      <c r="G9" s="12">
        <v>46317</v>
      </c>
      <c r="H9" s="4" t="inlineStr">
        <is>
          <t>Client/Supervision consultant; Contractor's technical staff</t>
        </is>
      </c>
      <c r="I9" s="35" t="inlineStr">
        <is>
          <t>Pending</t>
        </is>
      </c>
      <c r="J9" s="4"/>
    </row>
  </sheetData>
  <mergeCells count="2">
    <mergeCell ref="A1:J1"/>
    <mergeCell ref="A2:J2"/>
  </mergeCells>
  <hyperlinks>
    <hyperlink ref="L1" location="'Index'!A47" display="← Index"/>
  </hyperlink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I8"/>
  <sheetViews>
    <sheetView workbookViewId="0">
      <selection activeCell="B4" sqref="B4:D8"/>
    </sheetView>
  </sheetViews>
  <sheetFormatPr defaultRowHeight="15"/>
  <cols>
    <col min="1" max="1" width="4.00" customWidth="1"/>
    <col min="2" max="2" width="30.00" customWidth="1"/>
    <col min="3" max="3" width="6.00" customWidth="1"/>
    <col min="4" max="4" width="9.00" customWidth="1"/>
    <col min="5" max="5" width="12.00" customWidth="1"/>
    <col min="6" max="6" width="26.00" customWidth="1"/>
    <col min="7" max="7" width="30.00" customWidth="1"/>
    <col min="9" max="9" width="12.00" customWidth="1"/>
  </cols>
  <sheetData>
    <row r="1">
      <c r="A1" s="1" t="inlineStr">
        <is>
          <t>FOUNDATION BILL OF QUANTITIES — 9-STOREY OFFICE BUILDING</t>
        </is>
      </c>
      <c r="I1" s="106" t="inlineStr">
        <is>
          <t>← Index</t>
        </is>
      </c>
    </row>
    <row r="3">
      <c r="A3" s="3" t="inlineStr">
        <is>
          <t>No.</t>
        </is>
      </c>
      <c r="B3" s="3" t="inlineStr">
        <is>
          <t>Item</t>
        </is>
      </c>
      <c r="C3" s="3" t="inlineStr">
        <is>
          <t>Unit</t>
        </is>
      </c>
      <c r="D3" s="3" t="inlineStr">
        <is>
          <t>Quantity</t>
        </is>
      </c>
      <c r="E3" s="3" t="inlineStr">
        <is>
          <t>Unit price</t>
        </is>
      </c>
      <c r="F3" s="3" t="inlineStr">
        <is>
          <t>Price source</t>
        </is>
      </c>
      <c r="G3" s="3" t="inlineStr">
        <is>
          <t>Note</t>
        </is>
      </c>
    </row>
    <row r="4">
      <c r="A4" s="6">
        <v>1</v>
      </c>
      <c r="B4" s="4" t="inlineStr">
        <is>
          <t>Bê tông lót móng M100 đá 4x6</t>
        </is>
      </c>
      <c r="C4" s="6" t="inlineStr">
        <is>
          <t>m3</t>
        </is>
      </c>
      <c r="D4" s="36">
        <v>18.6</v>
      </c>
      <c r="E4" s="4"/>
      <c r="F4" s="4"/>
      <c r="G4" s="4"/>
    </row>
    <row r="5">
      <c r="A5" s="6">
        <v>2</v>
      </c>
      <c r="B5" s="4" t="inlineStr">
        <is>
          <t>Bê tông móng M250 đá 1x2</t>
        </is>
      </c>
      <c r="C5" s="6" t="inlineStr">
        <is>
          <t>m3</t>
        </is>
      </c>
      <c r="D5" s="36">
        <v>142.5</v>
      </c>
      <c r="E5" s="4"/>
      <c r="F5" s="4"/>
      <c r="G5" s="4"/>
    </row>
    <row r="6">
      <c r="A6" s="6">
        <v>3</v>
      </c>
      <c r="B6" s="4" t="inlineStr">
        <is>
          <t>Ván khuôn móng</t>
        </is>
      </c>
      <c r="C6" s="6" t="inlineStr">
        <is>
          <t>m2</t>
        </is>
      </c>
      <c r="D6" s="36">
        <v>236</v>
      </c>
      <c r="E6" s="4"/>
      <c r="F6" s="4"/>
      <c r="G6" s="4"/>
    </row>
    <row r="7">
      <c r="A7" s="6">
        <v>4</v>
      </c>
      <c r="B7" s="4" t="inlineStr">
        <is>
          <t>Cốt thép móng D≤10</t>
        </is>
      </c>
      <c r="C7" s="6" t="inlineStr">
        <is>
          <t>kg</t>
        </is>
      </c>
      <c r="D7" s="15">
        <v>2850</v>
      </c>
      <c r="E7" s="4"/>
      <c r="F7" s="4"/>
      <c r="G7" s="4"/>
    </row>
    <row r="8">
      <c r="A8" s="6">
        <v>5</v>
      </c>
      <c r="B8" s="4" t="inlineStr">
        <is>
          <t>Xi măng PCB40</t>
        </is>
      </c>
      <c r="C8" s="6" t="inlineStr">
        <is>
          <t>t</t>
        </is>
      </c>
      <c r="D8" s="36">
        <v>12.5</v>
      </c>
      <c r="E8" s="4"/>
      <c r="F8" s="4"/>
      <c r="G8" s="4"/>
    </row>
  </sheetData>
  <hyperlinks>
    <hyperlink ref="I1" location="'Index'!A51" display="← Index"/>
  </hyperlink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J7"/>
  <sheetViews>
    <sheetView workbookViewId="0">
      <selection activeCell="A3" sqref="A3:H7"/>
    </sheetView>
  </sheetViews>
  <sheetFormatPr defaultRowHeight="15"/>
  <cols>
    <col min="1" max="1" width="4.00" customWidth="1"/>
    <col min="2" max="2" width="30.00" customWidth="1"/>
    <col min="3" max="3" width="9.00" customWidth="1"/>
    <col min="4" max="4" width="5.00" customWidth="1"/>
    <col min="5" max="5" width="9.00" customWidth="1"/>
    <col min="6" max="6" width="11.00" customWidth="1"/>
    <col min="7" max="7" width="13.00" customWidth="1"/>
    <col min="8" max="8" width="9.00" customWidth="1"/>
    <col min="10" max="10" width="12.00" customWidth="1"/>
  </cols>
  <sheetData>
    <row r="1">
      <c r="A1" s="1" t="inlineStr">
        <is>
          <t>CONTRACT BILL OF QUANTITIES — 9-STOREY OFFICE BUILDING</t>
        </is>
      </c>
      <c r="J1" s="106" t="inlineStr">
        <is>
          <t>← Index</t>
        </is>
      </c>
    </row>
    <row r="3" ht="27.00" customHeight="1">
      <c r="A3" s="3" t="inlineStr">
        <is>
          <t>No.</t>
        </is>
      </c>
      <c r="B3" s="3" t="inlineStr">
        <is>
          <t>Item</t>
        </is>
      </c>
      <c r="C3" s="3" t="inlineStr">
        <is>
          <t>Code</t>
        </is>
      </c>
      <c r="D3" s="3" t="inlineStr">
        <is>
          <t>Unit</t>
        </is>
      </c>
      <c r="E3" s="2" t="inlineStr">
        <is>
          <t>Contract qty</t>
        </is>
      </c>
      <c r="F3" s="3" t="inlineStr">
        <is>
          <t>Unit price</t>
        </is>
      </c>
      <c r="G3" s="3" t="inlineStr">
        <is>
          <t>Amount</t>
        </is>
      </c>
      <c r="H3" s="2" t="inlineStr">
        <is>
          <t>% done (cum.)</t>
        </is>
      </c>
    </row>
    <row r="4">
      <c r="A4" s="6">
        <v>1</v>
      </c>
      <c r="B4" s="4" t="inlineStr">
        <is>
          <t>Excavation of foundation pits</t>
        </is>
      </c>
      <c r="C4" s="6" t="inlineStr">
        <is>
          <t>AB.25113</t>
        </is>
      </c>
      <c r="D4" s="6" t="inlineStr">
        <is>
          <t>m3</t>
        </is>
      </c>
      <c r="E4" s="15">
        <v>1250</v>
      </c>
      <c r="F4" s="15">
        <v>85000</v>
      </c>
      <c r="G4" s="15">
        <v>106250000</v>
      </c>
      <c r="H4" s="13">
        <v>1</v>
      </c>
    </row>
    <row r="5">
      <c r="A5" s="6">
        <v>2</v>
      </c>
      <c r="B5" s="4" t="inlineStr">
        <is>
          <t>Foundation concrete M300</t>
        </is>
      </c>
      <c r="C5" s="6" t="inlineStr">
        <is>
          <t>AF.22230</t>
        </is>
      </c>
      <c r="D5" s="6" t="inlineStr">
        <is>
          <t>m3</t>
        </is>
      </c>
      <c r="E5" s="36">
        <v>286.5</v>
      </c>
      <c r="F5" s="15">
        <v>1850000</v>
      </c>
      <c r="G5" s="15">
        <v>530025000</v>
      </c>
      <c r="H5" s="13">
        <v>1</v>
      </c>
    </row>
    <row r="6">
      <c r="A6" s="6">
        <v>3</v>
      </c>
      <c r="B6" s="4" t="inlineStr">
        <is>
          <t>Foundation reinforcement</t>
        </is>
      </c>
      <c r="C6" s="6" t="inlineStr">
        <is>
          <t>AF.61130</t>
        </is>
      </c>
      <c r="D6" s="6" t="inlineStr">
        <is>
          <t>t</t>
        </is>
      </c>
      <c r="E6" s="36">
        <v>34.2</v>
      </c>
      <c r="F6" s="15">
        <v>21500000</v>
      </c>
      <c r="G6" s="15">
        <v>735300000</v>
      </c>
      <c r="H6" s="13">
        <v>1</v>
      </c>
    </row>
    <row r="7">
      <c r="A7" s="6">
        <v>4</v>
      </c>
      <c r="B7" s="4" t="inlineStr">
        <is>
          <t>Column concrete L1–3 M300</t>
        </is>
      </c>
      <c r="C7" s="6" t="inlineStr">
        <is>
          <t>AF.22250</t>
        </is>
      </c>
      <c r="D7" s="6" t="inlineStr">
        <is>
          <t>m3</t>
        </is>
      </c>
      <c r="E7" s="14">
        <v>96</v>
      </c>
      <c r="F7" s="15">
        <v>2050000</v>
      </c>
      <c r="G7" s="15">
        <v>196800000</v>
      </c>
      <c r="H7" s="13">
        <v>0.4</v>
      </c>
    </row>
  </sheetData>
  <hyperlinks>
    <hyperlink ref="J1" location="'Index'!A52" display="← Index"/>
  </hyperlink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H8"/>
  <sheetViews>
    <sheetView workbookViewId="0">
      <selection activeCell="B4" sqref="B4"/>
    </sheetView>
  </sheetViews>
  <sheetFormatPr defaultRowHeight="15"/>
  <cols>
    <col min="1" max="1" width="4.00" customWidth="1"/>
    <col min="2" max="2" width="10.00" customWidth="1"/>
    <col min="3" max="3" width="30.00" customWidth="1"/>
    <col min="4" max="4" width="5.00" customWidth="1"/>
    <col min="5" max="5" width="10.00" customWidth="1"/>
    <col min="6" max="6" width="11.00" customWidth="1"/>
    <col min="8" max="8" width="12.00" customWidth="1"/>
  </cols>
  <sheetData>
    <row r="1">
      <c r="A1" s="1" t="inlineStr">
        <is>
          <t>FOUNDATION BILL OF QUANTITIES — MEASURED</t>
        </is>
      </c>
      <c r="H1" s="106" t="inlineStr">
        <is>
          <t>← Index</t>
        </is>
      </c>
    </row>
    <row r="3">
      <c r="A3" s="3" t="inlineStr">
        <is>
          <t>No.</t>
        </is>
      </c>
      <c r="B3" s="3" t="inlineStr">
        <is>
          <t>Code</t>
        </is>
      </c>
      <c r="C3" s="3" t="inlineStr">
        <is>
          <t>Description</t>
        </is>
      </c>
      <c r="D3" s="3" t="inlineStr">
        <is>
          <t>Unit</t>
        </is>
      </c>
      <c r="E3" s="3" t="inlineStr">
        <is>
          <t>Quantity</t>
        </is>
      </c>
      <c r="F3" s="3" t="inlineStr">
        <is>
          <t>Unit price</t>
        </is>
      </c>
    </row>
    <row r="4">
      <c r="A4" s="6">
        <v>1</v>
      </c>
      <c r="B4" s="6" t="inlineStr">
        <is>
          <t>AB.25113</t>
        </is>
      </c>
      <c r="C4" s="4" t="inlineStr">
        <is>
          <t>Machine excavation, soil class III</t>
        </is>
      </c>
      <c r="D4" s="6" t="inlineStr">
        <is>
          <t>m3</t>
        </is>
      </c>
      <c r="E4" s="36">
        <v>1312.5</v>
      </c>
      <c r="F4" s="15">
        <v>85000</v>
      </c>
    </row>
    <row r="5">
      <c r="A5" s="6">
        <v>2</v>
      </c>
      <c r="B5" s="6" t="inlineStr">
        <is>
          <t>AF.11213</t>
        </is>
      </c>
      <c r="C5" s="4" t="inlineStr">
        <is>
          <t>Blinding concrete M100</t>
        </is>
      </c>
      <c r="D5" s="6" t="inlineStr">
        <is>
          <t>m3</t>
        </is>
      </c>
      <c r="E5" s="36">
        <v>18.6</v>
      </c>
      <c r="F5" s="15">
        <v>1320000</v>
      </c>
    </row>
    <row r="6">
      <c r="A6" s="6">
        <v>3</v>
      </c>
      <c r="B6" s="6" t="inlineStr">
        <is>
          <t>AF.22230</t>
        </is>
      </c>
      <c r="C6" s="4" t="inlineStr">
        <is>
          <t>Foundation concrete M300</t>
        </is>
      </c>
      <c r="D6" s="6" t="inlineStr">
        <is>
          <t>m3</t>
        </is>
      </c>
      <c r="E6" s="36">
        <v>279.8</v>
      </c>
      <c r="F6" s="15">
        <v>1850000</v>
      </c>
    </row>
    <row r="7">
      <c r="A7" s="6">
        <v>4</v>
      </c>
      <c r="B7" s="6" t="inlineStr">
        <is>
          <t>AF.61130</t>
        </is>
      </c>
      <c r="C7" s="4" t="inlineStr">
        <is>
          <t>Foundation rebar dia. ≤18 mm</t>
        </is>
      </c>
      <c r="D7" s="6" t="inlineStr">
        <is>
          <t>t</t>
        </is>
      </c>
      <c r="E7" s="37">
        <v>36.05</v>
      </c>
      <c r="F7" s="15">
        <v>21500000</v>
      </c>
    </row>
    <row r="8">
      <c r="A8" s="6">
        <v>5</v>
      </c>
      <c r="B8" s="6" t="inlineStr">
        <is>
          <t>AK.95121</t>
        </is>
      </c>
      <c r="C8" s="4" t="inlineStr">
        <is>
          <t>Waterproof coating, lift pit</t>
        </is>
      </c>
      <c r="D8" s="6" t="inlineStr">
        <is>
          <t>m2</t>
        </is>
      </c>
      <c r="E8" s="14">
        <v>48</v>
      </c>
      <c r="F8" s="15">
        <v>125000</v>
      </c>
    </row>
  </sheetData>
  <hyperlinks>
    <hyperlink ref="H1" location="'Index'!A53" display="← Index"/>
  </hyperlink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H7"/>
  <sheetViews>
    <sheetView workbookViewId="0">
      <selection activeCell="A3" sqref="A3:F7"/>
    </sheetView>
  </sheetViews>
  <sheetFormatPr defaultRowHeight="15"/>
  <cols>
    <col min="1" max="1" width="4.00" customWidth="1"/>
    <col min="2" max="2" width="26.00" customWidth="1"/>
    <col min="3" max="3" width="5.00" customWidth="1"/>
    <col min="4" max="4" width="10.00" customWidth="1"/>
    <col min="5" max="5" width="13.00" customWidth="1"/>
    <col min="6" max="6" width="15.00" customWidth="1"/>
    <col min="8" max="8" width="12.00" customWidth="1"/>
  </cols>
  <sheetData>
    <row r="1">
      <c r="A1" s="1" t="inlineStr">
        <is>
          <t>MATERIALS ELIGIBLE FOR PRICE ADJUSTMENT — Q3/2026</t>
        </is>
      </c>
      <c r="H1" s="106" t="inlineStr">
        <is>
          <t>← Index</t>
        </is>
      </c>
    </row>
    <row r="3" ht="28.50" customHeight="1">
      <c r="A3" s="3" t="inlineStr">
        <is>
          <t>No.</t>
        </is>
      </c>
      <c r="B3" s="3" t="inlineStr">
        <is>
          <t>Material</t>
        </is>
      </c>
      <c r="C3" s="3" t="inlineStr">
        <is>
          <t>Unit</t>
        </is>
      </c>
      <c r="D3" s="3" t="inlineStr">
        <is>
          <t>Quantity</t>
        </is>
      </c>
      <c r="E3" s="2" t="inlineStr">
        <is>
          <t>Base price (contract)</t>
        </is>
      </c>
      <c r="F3" s="2" t="inlineStr">
        <is>
          <t>New price (adjustment date)</t>
        </is>
      </c>
    </row>
    <row r="4">
      <c r="A4" s="6">
        <v>1</v>
      </c>
      <c r="B4" s="4" t="inlineStr">
        <is>
          <t>Rebar CB300-V D10</t>
        </is>
      </c>
      <c r="C4" s="6" t="inlineStr">
        <is>
          <t>kg</t>
        </is>
      </c>
      <c r="D4" s="15">
        <v>18500</v>
      </c>
      <c r="E4" s="15">
        <v>15200</v>
      </c>
      <c r="F4" s="15">
        <v>16850</v>
      </c>
    </row>
    <row r="5">
      <c r="A5" s="6">
        <v>2</v>
      </c>
      <c r="B5" s="4" t="inlineStr">
        <is>
          <t>Rebar CB400-V D16–D25</t>
        </is>
      </c>
      <c r="C5" s="6" t="inlineStr">
        <is>
          <t>kg</t>
        </is>
      </c>
      <c r="D5" s="15">
        <v>26400</v>
      </c>
      <c r="E5" s="15">
        <v>15050</v>
      </c>
      <c r="F5" s="15">
        <v>16400</v>
      </c>
    </row>
    <row r="6">
      <c r="A6" s="6">
        <v>3</v>
      </c>
      <c r="B6" s="4" t="inlineStr">
        <is>
          <t>Cement PCB40</t>
        </is>
      </c>
      <c r="C6" s="6" t="inlineStr">
        <is>
          <t>t</t>
        </is>
      </c>
      <c r="D6" s="14">
        <v>145</v>
      </c>
      <c r="E6" s="15">
        <v>1550000</v>
      </c>
      <c r="F6" s="15">
        <v>1680000</v>
      </c>
    </row>
    <row r="7">
      <c r="A7" s="6">
        <v>4</v>
      </c>
      <c r="B7" s="4" t="inlineStr">
        <is>
          <t>Concrete sand</t>
        </is>
      </c>
      <c r="C7" s="6" t="inlineStr">
        <is>
          <t>m3</t>
        </is>
      </c>
      <c r="D7" s="14">
        <v>210</v>
      </c>
      <c r="E7" s="15">
        <v>380000</v>
      </c>
      <c r="F7" s="15">
        <v>420000</v>
      </c>
    </row>
  </sheetData>
  <hyperlinks>
    <hyperlink ref="H1" location="'Index'!A54" display="← Index"/>
  </hyperlink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K11"/>
  <sheetViews>
    <sheetView workbookViewId="0">
      <selection activeCell="A1" sqref="A1"/>
    </sheetView>
  </sheetViews>
  <sheetFormatPr defaultRowHeight="15"/>
  <cols>
    <col min="1" max="1" width="4.00" customWidth="1"/>
    <col min="2" max="2" width="9.00" customWidth="1"/>
    <col min="3" max="3" width="37.00" customWidth="1"/>
    <col min="4" max="4" width="6.00" customWidth="1"/>
    <col min="5" max="5" width="8.00" customWidth="1"/>
    <col min="6" max="6" width="10.00" customWidth="1"/>
    <col min="7" max="7" width="10.00" customWidth="1"/>
    <col min="8" max="8" width="9.00" customWidth="1"/>
    <col min="9" max="9" width="12.00" customWidth="1"/>
    <col min="11" max="11" width="12.00" customWidth="1"/>
  </cols>
  <sheetData>
    <row r="1">
      <c r="A1" s="1" t="inlineStr">
        <is>
          <t>DETAILED COST ESTIMATE</t>
        </is>
      </c>
      <c r="K1" s="106" t="inlineStr">
        <is>
          <t>← Index</t>
        </is>
      </c>
    </row>
    <row r="2">
      <c r="A2" s="18" t="inlineStr">
        <is>
          <t>Project: 9-storey office building</t>
        </is>
      </c>
    </row>
    <row r="3">
      <c r="A3" s="18" t="inlineStr">
        <is>
          <t>Section: Foundations</t>
        </is>
      </c>
    </row>
    <row r="5" ht="28.50" customHeight="1">
      <c r="A5" s="38" t="inlineStr">
        <is>
          <t>No.</t>
        </is>
      </c>
      <c r="B5" s="38" t="inlineStr">
        <is>
          <t>Code</t>
        </is>
      </c>
      <c r="C5" s="38" t="inlineStr">
        <is>
          <t>Work description</t>
        </is>
      </c>
      <c r="D5" s="38" t="inlineStr">
        <is>
          <t>Unit</t>
        </is>
      </c>
      <c r="E5" s="38" t="inlineStr">
        <is>
          <t>Quantity</t>
        </is>
      </c>
      <c r="F5" s="38" t="inlineStr">
        <is>
          <t>Material rate</t>
        </is>
      </c>
      <c r="G5" s="38" t="inlineStr">
        <is>
          <t>Labour rate</t>
        </is>
      </c>
      <c r="H5" s="38" t="inlineStr">
        <is>
          <t>Plant rate</t>
        </is>
      </c>
      <c r="I5" s="38" t="inlineStr">
        <is>
          <t>Amount</t>
        </is>
      </c>
    </row>
    <row r="6">
      <c r="A6" s="31" t="inlineStr">
        <is>
          <t>A</t>
        </is>
      </c>
      <c r="B6" s="4"/>
      <c r="C6" s="25" t="inlineStr">
        <is>
          <t>FOUNDATIONS</t>
        </is>
      </c>
      <c r="D6" s="4"/>
      <c r="E6" s="4"/>
      <c r="F6" s="4"/>
      <c r="G6" s="4"/>
      <c r="H6" s="4"/>
      <c r="I6" s="4"/>
    </row>
    <row r="7">
      <c r="A7" s="6">
        <v>1</v>
      </c>
      <c r="B7" s="4" t="inlineStr">
        <is>
          <t>AB.25113</t>
        </is>
      </c>
      <c r="C7" s="4" t="inlineStr">
        <is>
          <t>Machine excavation ≤1.25 m3 bucket, soil class III</t>
        </is>
      </c>
      <c r="D7" s="6" t="inlineStr">
        <is>
          <t>m3</t>
        </is>
      </c>
      <c r="E7" s="15">
        <v>1250</v>
      </c>
      <c r="F7" s="14">
        <v>0</v>
      </c>
      <c r="G7" s="15">
        <v>9850</v>
      </c>
      <c r="H7" s="15">
        <v>22400</v>
      </c>
      <c r="I7" s="15">
        <v>40312500</v>
      </c>
    </row>
    <row r="8">
      <c r="A8" s="6">
        <v>2</v>
      </c>
      <c r="B8" s="4" t="inlineStr">
        <is>
          <t>AF.11213</t>
        </is>
      </c>
      <c r="C8" s="4" t="inlineStr">
        <is>
          <t>Blinding concrete 4x6 aggregate M100</t>
        </is>
      </c>
      <c r="D8" s="6" t="inlineStr">
        <is>
          <t>m3</t>
        </is>
      </c>
      <c r="E8" s="36">
        <v>18.6</v>
      </c>
      <c r="F8" s="15">
        <v>985000</v>
      </c>
      <c r="G8" s="15">
        <v>245000</v>
      </c>
      <c r="H8" s="15">
        <v>32000</v>
      </c>
      <c r="I8" s="15">
        <v>23473200</v>
      </c>
    </row>
    <row r="9">
      <c r="A9" s="6">
        <v>3</v>
      </c>
      <c r="B9" s="4" t="inlineStr">
        <is>
          <t>AF.22230</t>
        </is>
      </c>
      <c r="C9" s="4" t="inlineStr">
        <is>
          <t>Foundation concrete 1x2 aggregate M300</t>
        </is>
      </c>
      <c r="D9" s="6" t="inlineStr">
        <is>
          <t>m3</t>
        </is>
      </c>
      <c r="E9" s="36">
        <v>286.5</v>
      </c>
      <c r="F9" s="15">
        <v>1320000</v>
      </c>
      <c r="G9" s="15">
        <v>285000</v>
      </c>
      <c r="H9" s="15">
        <v>48000</v>
      </c>
      <c r="I9" s="15">
        <v>473584500</v>
      </c>
    </row>
    <row r="10">
      <c r="A10" s="6">
        <v>4</v>
      </c>
      <c r="B10" s="4" t="inlineStr">
        <is>
          <t>AF.61130</t>
        </is>
      </c>
      <c r="C10" s="4" t="inlineStr">
        <is>
          <t>Foundation rebar dia. ≤18 mm</t>
        </is>
      </c>
      <c r="D10" s="6" t="inlineStr">
        <is>
          <t>t</t>
        </is>
      </c>
      <c r="E10" s="36">
        <v>34.2</v>
      </c>
      <c r="F10" s="15">
        <v>16250000</v>
      </c>
      <c r="G10" s="15">
        <v>2950000</v>
      </c>
      <c r="H10" s="15">
        <v>410000</v>
      </c>
      <c r="I10" s="15">
        <v>670662000</v>
      </c>
    </row>
    <row r="11">
      <c r="A11" s="4"/>
      <c r="B11" s="4"/>
      <c r="C11" s="25" t="inlineStr">
        <is>
          <t>Subtotal foundations</t>
        </is>
      </c>
      <c r="D11" s="4"/>
      <c r="E11" s="4"/>
      <c r="F11" s="4"/>
      <c r="G11" s="4"/>
      <c r="H11" s="4"/>
      <c r="I11" s="39">
        <v>1208032200</v>
      </c>
    </row>
  </sheetData>
  <hyperlinks>
    <hyperlink ref="K1" location="'Index'!A55" display="← Index"/>
  </hyperlink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F6"/>
  <sheetViews>
    <sheetView workbookViewId="0">
      <selection activeCell="C5" sqref="C5"/>
    </sheetView>
  </sheetViews>
  <sheetFormatPr defaultRowHeight="15"/>
  <cols>
    <col min="1" max="1" width="32.00" customWidth="1"/>
    <col min="2" max="2" width="6.00" customWidth="1"/>
    <col min="3" max="3" width="12.00" customWidth="1"/>
    <col min="4" max="4" width="8.00" customWidth="1"/>
    <col min="6" max="6" width="12.00" customWidth="1"/>
  </cols>
  <sheetData>
    <row r="1">
      <c r="A1" s="1" t="inlineStr">
        <is>
          <t>MAIN QUANTITIES SUMMARY — 9-STOREY OFFICE BUILDING</t>
        </is>
      </c>
      <c r="F1" s="106" t="inlineStr">
        <is>
          <t>← Index</t>
        </is>
      </c>
    </row>
    <row r="3">
      <c r="A3" s="3" t="inlineStr">
        <is>
          <t>Item</t>
        </is>
      </c>
      <c r="B3" s="3" t="inlineStr">
        <is>
          <t>Unit</t>
        </is>
      </c>
      <c r="C3" s="3" t="inlineStr">
        <is>
          <t>Quantity</t>
        </is>
      </c>
    </row>
    <row r="4">
      <c r="A4" s="4" t="inlineStr">
        <is>
          <t>Foundation excavation</t>
        </is>
      </c>
      <c r="B4" s="6" t="inlineStr">
        <is>
          <t>m3</t>
        </is>
      </c>
      <c r="C4" s="15">
        <v>1250</v>
      </c>
    </row>
    <row r="5">
      <c r="A5" s="4" t="inlineStr">
        <is>
          <t>Foundation concrete (all grades)</t>
        </is>
      </c>
      <c r="B5" s="6" t="inlineStr">
        <is>
          <t>m3</t>
        </is>
      </c>
      <c r="C5" s="4"/>
    </row>
    <row r="6">
      <c r="A6" s="4" t="inlineStr">
        <is>
          <t>Foundation rebar</t>
        </is>
      </c>
      <c r="B6" s="6" t="inlineStr">
        <is>
          <t>t</t>
        </is>
      </c>
      <c r="C6" s="4"/>
    </row>
  </sheetData>
  <hyperlinks>
    <hyperlink ref="F1" location="'Index'!A58" display="← Index"/>
  </hyperlink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H7"/>
  <sheetViews>
    <sheetView workbookViewId="0">
      <selection activeCell="A3" sqref="A3:F7"/>
    </sheetView>
  </sheetViews>
  <sheetFormatPr defaultRowHeight="15"/>
  <cols>
    <col min="1" max="1" width="4.00" customWidth="1"/>
    <col min="2" max="2" width="34.00" customWidth="1"/>
    <col min="3" max="3" width="28.00" customWidth="1"/>
    <col min="4" max="4" width="5.00" customWidth="1"/>
    <col min="5" max="5" width="7.00" customWidth="1"/>
    <col min="6" max="6" width="11.00" customWidth="1"/>
    <col min="8" max="8" width="12.00" customWidth="1"/>
  </cols>
  <sheetData>
    <row r="1">
      <c r="A1" s="1" t="inlineStr">
        <is>
          <t>VARIATION TAKEOFF — GARDEN AND FORECOURT</t>
        </is>
      </c>
      <c r="H1" s="106" t="inlineStr">
        <is>
          <t>← Index</t>
        </is>
      </c>
    </row>
    <row r="3">
      <c r="A3" s="3" t="inlineStr">
        <is>
          <t>No.</t>
        </is>
      </c>
      <c r="B3" s="3" t="inlineStr">
        <is>
          <t>Variation item</t>
        </is>
      </c>
      <c r="C3" s="3" t="inlineStr">
        <is>
          <t>Basis</t>
        </is>
      </c>
      <c r="D3" s="3" t="inlineStr">
        <is>
          <t>Unit</t>
        </is>
      </c>
      <c r="E3" s="3" t="inlineStr">
        <is>
          <t>Qty</t>
        </is>
      </c>
      <c r="F3" s="3" t="inlineStr">
        <is>
          <t>Unit price</t>
        </is>
      </c>
    </row>
    <row r="4">
      <c r="A4" s="6">
        <v>1</v>
      </c>
      <c r="B4" s="4" t="inlineStr">
        <is>
          <t>Lamp post footing concrete M250</t>
        </is>
      </c>
      <c r="C4" s="4"/>
      <c r="D4" s="6" t="inlineStr">
        <is>
          <t>m3</t>
        </is>
      </c>
      <c r="E4" s="36">
        <v>8.5</v>
      </c>
      <c r="F4" s="15">
        <v>1900000</v>
      </c>
    </row>
    <row r="5">
      <c r="A5" s="6">
        <v>2</v>
      </c>
      <c r="B5" s="4" t="inlineStr">
        <is>
          <t>Lamp post footing rebar</t>
        </is>
      </c>
      <c r="C5" s="4"/>
      <c r="D5" s="6" t="inlineStr">
        <is>
          <t>kg</t>
        </is>
      </c>
      <c r="E5" s="14">
        <v>420</v>
      </c>
      <c r="F5" s="15">
        <v>21500</v>
      </c>
    </row>
    <row r="6">
      <c r="A6" s="6">
        <v>3</v>
      </c>
      <c r="B6" s="4" t="inlineStr">
        <is>
          <t>Concrete forecourt omitted</t>
        </is>
      </c>
      <c r="C6" s="4" t="inlineStr">
        <is>
          <t>Design change, dwg KT-12 Rev02</t>
        </is>
      </c>
      <c r="D6" s="6" t="inlineStr">
        <is>
          <t>m2</t>
        </is>
      </c>
      <c r="E6" s="14">
        <v>-65</v>
      </c>
      <c r="F6" s="15">
        <v>320000</v>
      </c>
    </row>
    <row r="7">
      <c r="A7" s="6">
        <v>4</v>
      </c>
      <c r="B7" s="4" t="inlineStr">
        <is>
          <t>Granite paving to forecourt</t>
        </is>
      </c>
      <c r="C7" s="4" t="inlineStr">
        <is>
          <t>Design change, dwg KT-12 Rev02</t>
        </is>
      </c>
      <c r="D7" s="6" t="inlineStr">
        <is>
          <t>m2</t>
        </is>
      </c>
      <c r="E7" s="14">
        <v>65</v>
      </c>
      <c r="F7" s="15">
        <v>680000</v>
      </c>
    </row>
  </sheetData>
  <hyperlinks>
    <hyperlink ref="H1" location="'Index'!A59" display="← Index"/>
  </hyperlink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I8"/>
  <sheetViews>
    <sheetView workbookViewId="0">
      <selection activeCell="A5" sqref="A5:G5"/>
    </sheetView>
  </sheetViews>
  <sheetFormatPr defaultRowHeight="15"/>
  <cols>
    <col min="1" max="1" width="5.00" customWidth="1"/>
    <col min="2" max="2" width="32.00" customWidth="1"/>
    <col min="3" max="3" width="7.00" customWidth="1"/>
    <col min="4" max="4" width="10.00" customWidth="1"/>
    <col min="5" max="5" width="12.00" customWidth="1"/>
    <col min="6" max="6" width="14.00" customWidth="1"/>
    <col min="7" max="7" width="10.00" customWidth="1"/>
    <col min="9" max="9" width="12.00" customWidth="1"/>
  </cols>
  <sheetData>
    <row r="1">
      <c r="A1" s="29" t="inlineStr">
        <is>
          <t>QUANTITY SUMMARY</t>
        </is>
      </c>
      <c r="I1" s="106" t="inlineStr">
        <is>
          <t>← Index</t>
        </is>
      </c>
    </row>
    <row r="2">
      <c r="A2" s="18" t="inlineStr">
        <is>
          <t>Project: 9-storey office building</t>
        </is>
      </c>
    </row>
    <row r="3">
      <c r="A3" s="18" t="inlineStr">
        <is>
          <t>Section: Superstructure — columns L1–L3</t>
        </is>
      </c>
    </row>
    <row r="5" ht="22.50" customHeight="1">
      <c r="A5" s="40" t="inlineStr">
        <is>
          <t>No.</t>
        </is>
      </c>
      <c r="B5" s="40" t="inlineStr">
        <is>
          <t>Work item</t>
        </is>
      </c>
      <c r="C5" s="40" t="inlineStr">
        <is>
          <t>Unit</t>
        </is>
      </c>
      <c r="D5" s="40" t="inlineStr">
        <is>
          <t>Quantity</t>
        </is>
      </c>
      <c r="E5" s="40" t="inlineStr">
        <is>
          <t>Unit price</t>
        </is>
      </c>
      <c r="F5" s="40" t="inlineStr">
        <is>
          <t>Amount</t>
        </is>
      </c>
      <c r="G5" s="40" t="inlineStr">
        <is>
          <t>Notes</t>
        </is>
      </c>
    </row>
    <row r="6">
      <c r="A6" s="6">
        <v>1</v>
      </c>
      <c r="B6" s="4" t="inlineStr">
        <is>
          <t>Column concrete M300, 1x2 aggregate</t>
        </is>
      </c>
      <c r="C6" s="6" t="inlineStr">
        <is>
          <t>m³</t>
        </is>
      </c>
      <c r="D6" s="11">
        <v>86.4</v>
      </c>
      <c r="E6" s="33">
        <v>1850000</v>
      </c>
      <c r="F6" s="33">
        <v>159840000</v>
      </c>
      <c r="G6" s="4"/>
    </row>
    <row r="7">
      <c r="A7" s="6">
        <v>2</v>
      </c>
      <c r="B7" s="4" t="inlineStr">
        <is>
          <t>Column reinforcement Ø≤18</t>
        </is>
      </c>
      <c r="C7" s="6" t="inlineStr">
        <is>
          <t>t</t>
        </is>
      </c>
      <c r="D7" s="11">
        <v>12.85</v>
      </c>
      <c r="E7" s="33">
        <v>21500000</v>
      </c>
      <c r="F7" s="33">
        <v>276275000</v>
      </c>
      <c r="G7" s="4"/>
    </row>
    <row r="8">
      <c r="A8" s="6">
        <v>3</v>
      </c>
      <c r="B8" s="4" t="inlineStr">
        <is>
          <t>Column formwork</t>
        </is>
      </c>
      <c r="C8" s="6" t="inlineStr">
        <is>
          <t>100m²</t>
        </is>
      </c>
      <c r="D8" s="11">
        <v>7.2</v>
      </c>
      <c r="E8" s="33">
        <v>9800000</v>
      </c>
      <c r="F8" s="33">
        <v>70560000</v>
      </c>
      <c r="G8" s="4"/>
    </row>
  </sheetData>
  <mergeCells count="1">
    <mergeCell ref="A1:G1"/>
  </mergeCells>
  <hyperlinks>
    <hyperlink ref="I1" location="'Index'!A62" display="← Index"/>
  </hyperlink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F11"/>
  <sheetViews>
    <sheetView workbookViewId="0">
      <selection activeCell="A4" sqref="A4:A11"/>
    </sheetView>
  </sheetViews>
  <sheetFormatPr defaultRowHeight="15"/>
  <cols>
    <col min="1" max="1" width="6.00" customWidth="1"/>
    <col min="2" max="2" width="42.00" customWidth="1"/>
    <col min="3" max="3" width="7.00" customWidth="1"/>
    <col min="4" max="4" width="10.00" customWidth="1"/>
    <col min="6" max="6" width="12.00" customWidth="1"/>
  </cols>
  <sheetData>
    <row r="1">
      <c r="A1" s="29" t="inlineStr">
        <is>
          <t>FOUNDATION QUANTITIES</t>
        </is>
      </c>
      <c r="F1" s="106" t="inlineStr">
        <is>
          <t>← Index</t>
        </is>
      </c>
    </row>
    <row r="3">
      <c r="A3" s="3" t="inlineStr">
        <is>
          <t>No.</t>
        </is>
      </c>
      <c r="B3" s="3" t="inlineStr">
        <is>
          <t>Work item</t>
        </is>
      </c>
      <c r="C3" s="3" t="inlineStr">
        <is>
          <t>Unit</t>
        </is>
      </c>
      <c r="D3" s="3" t="inlineStr">
        <is>
          <t>Quantity</t>
        </is>
      </c>
    </row>
    <row r="4">
      <c r="A4" s="4"/>
      <c r="B4" s="4" t="inlineStr">
        <is>
          <t>Machine excavation of footings</t>
        </is>
      </c>
      <c r="C4" s="6" t="inlineStr">
        <is>
          <t>m³</t>
        </is>
      </c>
      <c r="D4" s="32">
        <v>412.6</v>
      </c>
    </row>
    <row r="5">
      <c r="A5" s="4"/>
      <c r="B5" s="4" t="inlineStr">
        <is>
          <t>Footing concrete B22.5 (M300), comprising:</t>
        </is>
      </c>
      <c r="C5" s="6" t="inlineStr">
        <is>
          <t>m³</t>
        </is>
      </c>
      <c r="D5" s="32">
        <v>186.2</v>
      </c>
    </row>
    <row r="6">
      <c r="A6" s="4"/>
      <c r="B6" s="4" t="inlineStr">
        <is>
          <t xml:space="preserve">   - Footing M1 (12 nos)</t>
        </is>
      </c>
      <c r="C6" s="6" t="inlineStr">
        <is>
          <t>m³</t>
        </is>
      </c>
      <c r="D6" s="32">
        <v>112.8</v>
      </c>
    </row>
    <row r="7">
      <c r="A7" s="4"/>
      <c r="B7" s="4" t="inlineStr">
        <is>
          <t xml:space="preserve">   - Footing M2 (8 nos)</t>
        </is>
      </c>
      <c r="C7" s="6" t="inlineStr">
        <is>
          <t>m³</t>
        </is>
      </c>
      <c r="D7" s="32">
        <v>73.4</v>
      </c>
    </row>
    <row r="8">
      <c r="A8" s="4"/>
      <c r="B8" s="4" t="inlineStr">
        <is>
          <t>Footing rebar D≤18</t>
        </is>
      </c>
      <c r="C8" s="6" t="inlineStr">
        <is>
          <t>t</t>
        </is>
      </c>
      <c r="D8" s="32">
        <v>12.4</v>
      </c>
    </row>
    <row r="9" hidden="1">
      <c r="A9" s="4"/>
      <c r="B9" s="4"/>
      <c r="C9" s="4"/>
      <c r="D9" s="4"/>
    </row>
    <row r="10">
      <c r="A10" s="4"/>
      <c r="B10" s="4" t="inlineStr">
        <is>
          <t>Footing formwork</t>
        </is>
      </c>
      <c r="C10" s="6" t="inlineStr">
        <is>
          <t>m²</t>
        </is>
      </c>
      <c r="D10" s="32">
        <v>284</v>
      </c>
    </row>
    <row r="11">
      <c r="A11" s="4"/>
      <c r="B11" s="4" t="inlineStr">
        <is>
          <t>Backfill footings</t>
        </is>
      </c>
      <c r="C11" s="6" t="inlineStr">
        <is>
          <t>m³</t>
        </is>
      </c>
      <c r="D11" s="32">
        <v>236.5</v>
      </c>
    </row>
  </sheetData>
  <mergeCells count="2">
    <mergeCell ref="A1:D1"/>
    <mergeCell ref="A5:A7"/>
  </mergeCells>
  <hyperlinks>
    <hyperlink ref="F1" location="'Index'!A65" display="← Index"/>
  </hyperlink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E7"/>
  <sheetViews>
    <sheetView workbookViewId="0">
      <selection activeCell="A4" sqref="A4:A7"/>
    </sheetView>
  </sheetViews>
  <sheetFormatPr defaultRowHeight="15"/>
  <cols>
    <col min="1" max="1" width="7.00" customWidth="1"/>
    <col min="2" max="2" width="36.00" customWidth="1"/>
    <col min="3" max="3" width="18.00" customWidth="1"/>
    <col min="5" max="5" width="12.00" customWidth="1"/>
  </cols>
  <sheetData>
    <row r="1">
      <c r="A1" s="29" t="inlineStr">
        <is>
          <t>CONSTRUCTION COST SUMMARY</t>
        </is>
      </c>
      <c r="E1" s="106" t="inlineStr">
        <is>
          <t>← Index</t>
        </is>
      </c>
    </row>
    <row r="3">
      <c r="A3" s="3" t="inlineStr">
        <is>
          <t>No.</t>
        </is>
      </c>
      <c r="B3" s="3" t="inlineStr">
        <is>
          <t>Section</t>
        </is>
      </c>
      <c r="C3" s="3" t="inlineStr">
        <is>
          <t>Value (VND)</t>
        </is>
      </c>
    </row>
    <row r="4">
      <c r="A4" s="4"/>
      <c r="B4" s="4" t="inlineStr">
        <is>
          <t>Foundations</t>
        </is>
      </c>
      <c r="C4" s="33">
        <v>4286500000</v>
      </c>
    </row>
    <row r="5">
      <c r="A5" s="4"/>
      <c r="B5" s="4" t="inlineStr">
        <is>
          <t>Superstructure</t>
        </is>
      </c>
      <c r="C5" s="33">
        <v>12940000000</v>
      </c>
    </row>
    <row r="6">
      <c r="A6" s="4"/>
      <c r="B6" s="4" t="inlineStr">
        <is>
          <t>Finishes</t>
        </is>
      </c>
      <c r="C6" s="33">
        <v>7318200000</v>
      </c>
    </row>
    <row r="7">
      <c r="A7" s="4"/>
      <c r="B7" s="4" t="inlineStr">
        <is>
          <t>MEP services</t>
        </is>
      </c>
      <c r="C7" s="33">
        <v>3125600000</v>
      </c>
    </row>
  </sheetData>
  <mergeCells count="1">
    <mergeCell ref="A1:C1"/>
  </mergeCells>
  <hyperlinks>
    <hyperlink ref="E1" location="'Index'!A66" display="← Index"/>
  </hyperlink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E8"/>
  <sheetViews>
    <sheetView workbookViewId="0">
      <selection activeCell="A4" sqref="A4:A8"/>
    </sheetView>
  </sheetViews>
  <sheetFormatPr defaultRowHeight="15"/>
  <cols>
    <col min="1" max="1" width="9.00" customWidth="1"/>
    <col min="2" max="2" width="46.00" customWidth="1"/>
    <col min="3" max="3" width="10.00" customWidth="1"/>
    <col min="5" max="5" width="12.00" customWidth="1"/>
  </cols>
  <sheetData>
    <row r="1">
      <c r="A1" s="29" t="inlineStr">
        <is>
          <t>APPENDICES TO THE ACCEPTANCE RECORD</t>
        </is>
      </c>
      <c r="E1" s="106" t="inlineStr">
        <is>
          <t>← Index</t>
        </is>
      </c>
    </row>
    <row r="3">
      <c r="A3" s="3" t="inlineStr">
        <is>
          <t>Appendix</t>
        </is>
      </c>
      <c r="B3" s="3" t="inlineStr">
        <is>
          <t>Content</t>
        </is>
      </c>
      <c r="C3" s="3" t="inlineStr">
        <is>
          <t>Pages</t>
        </is>
      </c>
    </row>
    <row r="4">
      <c r="A4" s="4"/>
      <c r="B4" s="4" t="inlineStr">
        <is>
          <t>Foundation as-built drawings</t>
        </is>
      </c>
      <c r="C4" s="4">
        <v>12</v>
      </c>
    </row>
    <row r="5">
      <c r="A5" s="4"/>
      <c r="B5" s="4" t="inlineStr">
        <is>
          <t>Foundation construction diary</t>
        </is>
      </c>
      <c r="C5" s="4">
        <v>26</v>
      </c>
    </row>
    <row r="6">
      <c r="A6" s="4"/>
      <c r="B6" s="4" t="inlineStr">
        <is>
          <t>Concrete compression test results</t>
        </is>
      </c>
      <c r="C6" s="4">
        <v>8</v>
      </c>
    </row>
    <row r="7">
      <c r="A7" s="4"/>
      <c r="B7" s="4" t="inlineStr">
        <is>
          <t>Steel tensile and bend test results</t>
        </is>
      </c>
      <c r="C7" s="4">
        <v>6</v>
      </c>
    </row>
    <row r="8">
      <c r="A8" s="4"/>
      <c r="B8" s="4" t="inlineStr">
        <is>
          <t>Material quality certificates (CO/CQ)</t>
        </is>
      </c>
      <c r="C8" s="4">
        <v>34</v>
      </c>
    </row>
  </sheetData>
  <mergeCells count="2">
    <mergeCell ref="A1:C1"/>
    <mergeCell ref="A6:A7"/>
  </mergeCells>
  <hyperlinks>
    <hyperlink ref="E1" location="'Index'!A67" display="← Index"/>
  </hyperlink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F7"/>
  <sheetViews>
    <sheetView workbookViewId="0">
      <selection activeCell="A4" sqref="A4:A7"/>
    </sheetView>
  </sheetViews>
  <sheetFormatPr defaultRowHeight="15"/>
  <cols>
    <col min="1" max="1" width="6.00" customWidth="1"/>
    <col min="2" max="2" width="40.00" customWidth="1"/>
    <col min="3" max="3" width="7.00" customWidth="1"/>
    <col min="4" max="4" width="10.00" customWidth="1"/>
    <col min="6" max="6" width="12.00" customWidth="1"/>
  </cols>
  <sheetData>
    <row r="1">
      <c r="A1" s="29" t="inlineStr">
        <is>
          <t>ITEM 2 — SITE ROAD PAVEMENT</t>
        </is>
      </c>
      <c r="F1" s="106" t="inlineStr">
        <is>
          <t>← Index</t>
        </is>
      </c>
    </row>
    <row r="3">
      <c r="A3" s="3" t="inlineStr">
        <is>
          <t>No.</t>
        </is>
      </c>
      <c r="B3" s="3" t="inlineStr">
        <is>
          <t>Layer</t>
        </is>
      </c>
      <c r="C3" s="3" t="inlineStr">
        <is>
          <t>Unit</t>
        </is>
      </c>
      <c r="D3" s="3" t="inlineStr">
        <is>
          <t>Quantity</t>
        </is>
      </c>
    </row>
    <row r="4">
      <c r="A4" s="4"/>
      <c r="B4" s="4" t="inlineStr">
        <is>
          <t>Fine asphalt concrete, 5 cm</t>
        </is>
      </c>
      <c r="C4" s="6" t="inlineStr">
        <is>
          <t>m²</t>
        </is>
      </c>
      <c r="D4" s="33">
        <v>1850</v>
      </c>
    </row>
    <row r="5">
      <c r="A5" s="4"/>
      <c r="B5" s="4" t="inlineStr">
        <is>
          <t>Coarse asphalt concrete, 7 cm</t>
        </is>
      </c>
      <c r="C5" s="6" t="inlineStr">
        <is>
          <t>m²</t>
        </is>
      </c>
      <c r="D5" s="33">
        <v>1850</v>
      </c>
    </row>
    <row r="6">
      <c r="A6" s="4"/>
      <c r="B6" s="4" t="inlineStr">
        <is>
          <t>Graded crushed stone type I, 15 cm</t>
        </is>
      </c>
      <c r="C6" s="6" t="inlineStr">
        <is>
          <t>m²</t>
        </is>
      </c>
      <c r="D6" s="33">
        <v>1920</v>
      </c>
    </row>
    <row r="7">
      <c r="A7" s="4"/>
      <c r="B7" s="4" t="inlineStr">
        <is>
          <t>Graded crushed stone type II, 30 cm</t>
        </is>
      </c>
      <c r="C7" s="6" t="inlineStr">
        <is>
          <t>m²</t>
        </is>
      </c>
      <c r="D7" s="33">
        <v>1980</v>
      </c>
    </row>
  </sheetData>
  <mergeCells count="1">
    <mergeCell ref="A1:D1"/>
  </mergeCells>
  <hyperlinks>
    <hyperlink ref="F1" location="'Index'!A68" display="← Index"/>
  </hyperlink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G11"/>
  <sheetViews>
    <sheetView workbookViewId="0">
      <selection activeCell="A4" sqref="A4"/>
    </sheetView>
  </sheetViews>
  <sheetFormatPr defaultRowHeight="15"/>
  <cols>
    <col min="1" max="1" width="38.00" customWidth="1"/>
    <col min="2" max="2" width="9.00" customWidth="1"/>
    <col min="3" max="3" width="7.00" customWidth="1"/>
    <col min="4" max="4" width="3.00" customWidth="1"/>
    <col min="5" max="5" width="14.00" customWidth="1"/>
    <col min="7" max="7" width="12.00" customWidth="1"/>
  </cols>
  <sheetData>
    <row r="1">
      <c r="A1" s="29" t="inlineStr">
        <is>
          <t>DETAILED ESTIMATE — 9-STOREY OFFICE BUILDING</t>
        </is>
      </c>
      <c r="G1" s="106" t="inlineStr">
        <is>
          <t>← Index</t>
        </is>
      </c>
    </row>
    <row r="3">
      <c r="A3" s="40" t="inlineStr">
        <is>
          <t>Work item</t>
        </is>
      </c>
      <c r="B3" s="40" t="inlineStr">
        <is>
          <t>Qty (m³)</t>
        </is>
      </c>
      <c r="C3" s="40" t="inlineStr">
        <is>
          <t>Level</t>
        </is>
      </c>
      <c r="E3" s="40" t="inlineStr">
        <is>
          <t>Colour legend</t>
        </is>
      </c>
    </row>
    <row r="4">
      <c r="A4" s="44" t="inlineStr">
        <is>
          <t>Substructure</t>
        </is>
      </c>
      <c r="B4" s="4"/>
      <c r="C4" s="4"/>
      <c r="E4" s="41" t="inlineStr">
        <is>
          <t>Level 1</t>
        </is>
      </c>
    </row>
    <row r="5">
      <c r="A5" s="45" t="inlineStr">
        <is>
          <t>Earthworks</t>
        </is>
      </c>
      <c r="B5" s="4"/>
      <c r="C5" s="4"/>
      <c r="E5" s="42" t="inlineStr">
        <is>
          <t>Level 2</t>
        </is>
      </c>
    </row>
    <row r="6">
      <c r="A6" s="46" t="inlineStr">
        <is>
          <t>Machine excavation</t>
        </is>
      </c>
      <c r="B6" s="32">
        <v>412.6</v>
      </c>
      <c r="C6" s="4"/>
      <c r="E6" s="43" t="inlineStr">
        <is>
          <t>Level 3</t>
        </is>
      </c>
    </row>
    <row r="7">
      <c r="A7" s="46" t="inlineStr">
        <is>
          <t>Hand excavation</t>
        </is>
      </c>
      <c r="B7" s="32">
        <v>45.8</v>
      </c>
      <c r="C7" s="4"/>
    </row>
    <row r="8">
      <c r="A8" s="45" t="inlineStr">
        <is>
          <t>Foundation concrete</t>
        </is>
      </c>
      <c r="B8" s="4"/>
      <c r="C8" s="4"/>
    </row>
    <row r="9">
      <c r="A9" s="46" t="inlineStr">
        <is>
          <t>Blinding concrete B7.5 (M100)</t>
        </is>
      </c>
      <c r="B9" s="32">
        <v>18.4</v>
      </c>
      <c r="C9" s="4"/>
    </row>
    <row r="10">
      <c r="A10" s="46" t="inlineStr">
        <is>
          <t>Footing concrete B22.5 (M300)</t>
        </is>
      </c>
      <c r="B10" s="32">
        <v>186.2</v>
      </c>
      <c r="C10" s="4"/>
    </row>
    <row r="11">
      <c r="A11" s="44" t="inlineStr">
        <is>
          <t>Superstructure</t>
        </is>
      </c>
      <c r="B11" s="4"/>
      <c r="C11" s="4"/>
    </row>
  </sheetData>
  <mergeCells count="1">
    <mergeCell ref="A1:C1"/>
  </mergeCells>
  <hyperlinks>
    <hyperlink ref="G1" location="'Index'!A69" display="← Index"/>
  </hyperlink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E6"/>
  <sheetViews>
    <sheetView workbookViewId="0">
      <selection activeCell="B4" sqref="B4:B6"/>
    </sheetView>
  </sheetViews>
  <sheetFormatPr defaultRowHeight="15"/>
  <cols>
    <col min="1" max="1" width="5.00" customWidth="1"/>
    <col min="2" max="2" width="46.00" customWidth="1"/>
    <col min="3" max="3" width="10.00" customWidth="1"/>
    <col min="5" max="5" width="12.00" customWidth="1"/>
  </cols>
  <sheetData>
    <row r="1">
      <c r="A1" s="29" t="inlineStr">
        <is>
          <t>CONSTRUCTION WORK ACCEPTANCE RECORD</t>
        </is>
      </c>
      <c r="E1" s="106" t="inlineStr">
        <is>
          <t>← Index</t>
        </is>
      </c>
    </row>
    <row r="3">
      <c r="A3" s="3" t="inlineStr">
        <is>
          <t>No.</t>
        </is>
      </c>
      <c r="B3" s="3" t="inlineStr">
        <is>
          <t>Work items</t>
        </is>
      </c>
      <c r="C3" s="3" t="inlineStr">
        <is>
          <t>Result</t>
        </is>
      </c>
    </row>
    <row r="4" ht="46.50" customHeight="1">
      <c r="A4" s="6">
        <v>1</v>
      </c>
      <c r="B4" s="47" t="inlineStr">
        <is>
          <t xml:space="preserve">Erect formwork for columns on grid A-3
Inspect reinforcement before pouring
Pour column concrete B22.5 (M300)</t>
        </is>
      </c>
      <c r="C4" s="6" t="inlineStr">
        <is>
          <t>Pass</t>
        </is>
      </c>
    </row>
    <row r="5" ht="31.50" customHeight="1">
      <c r="A5" s="6">
        <v>2</v>
      </c>
      <c r="B5" s="47" t="inlineStr">
        <is>
          <t xml:space="preserve">Strip formwork after 2 days
Moist-cure the concrete for 7 days</t>
        </is>
      </c>
      <c r="C5" s="6" t="inlineStr">
        <is>
          <t>Pass</t>
        </is>
      </c>
    </row>
    <row r="6">
      <c r="A6" s="6">
        <v>3</v>
      </c>
      <c r="B6" s="4" t="inlineStr">
        <is>
          <t>Take 28-day compression test samples</t>
        </is>
      </c>
      <c r="C6" s="6" t="inlineStr">
        <is>
          <t>Pass</t>
        </is>
      </c>
    </row>
  </sheetData>
  <mergeCells count="1">
    <mergeCell ref="A1:C1"/>
  </mergeCells>
  <hyperlinks>
    <hyperlink ref="E1" location="'Index'!A70" display="← Index"/>
  </hyperlink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E10"/>
  <sheetViews>
    <sheetView workbookViewId="0">
      <selection activeCell="B5" sqref="B5:B7"/>
    </sheetView>
  </sheetViews>
  <sheetFormatPr defaultRowHeight="15"/>
  <cols>
    <col min="1" max="1" width="5.00" customWidth="1"/>
    <col min="2" max="2" width="46.00" customWidth="1"/>
    <col min="3" max="3" width="8.00" customWidth="1"/>
    <col min="5" max="5" width="12.00" customWidth="1"/>
  </cols>
  <sheetData>
    <row r="1">
      <c r="A1" s="29" t="inlineStr">
        <is>
          <t>INSPECTION AND TEST PLAN (ITP) — FOUNDATIONS</t>
        </is>
      </c>
      <c r="E1" s="106" t="inlineStr">
        <is>
          <t>← Index</t>
        </is>
      </c>
    </row>
    <row r="3">
      <c r="A3" s="3" t="inlineStr">
        <is>
          <t>No.</t>
        </is>
      </c>
      <c r="B3" s="3" t="inlineStr">
        <is>
          <t>Inspection point</t>
        </is>
      </c>
      <c r="C3" s="3" t="inlineStr">
        <is>
          <t>Type</t>
        </is>
      </c>
    </row>
    <row r="4">
      <c r="A4" s="6">
        <v>1</v>
      </c>
      <c r="B4" s="4" t="inlineStr">
        <is>
          <t>Check pile centre set-out</t>
        </is>
      </c>
      <c r="C4" s="6" t="inlineStr">
        <is>
          <t>W</t>
        </is>
      </c>
    </row>
    <row r="5">
      <c r="A5" s="6">
        <v>2</v>
      </c>
      <c r="B5" s="4" t="inlineStr">
        <is>
          <t>Check pile top level</t>
        </is>
      </c>
      <c r="C5" s="6" t="inlineStr">
        <is>
          <t>H</t>
        </is>
      </c>
    </row>
    <row r="6">
      <c r="A6" s="6">
        <v>3</v>
      </c>
      <c r="B6" s="4" t="inlineStr">
        <is>
          <t>Inspect reinforcement before pouring</t>
        </is>
      </c>
      <c r="C6" s="6" t="inlineStr">
        <is>
          <t>H</t>
        </is>
      </c>
    </row>
    <row r="7">
      <c r="A7" s="6">
        <v>4</v>
      </c>
      <c r="B7" s="4" t="inlineStr">
        <is>
          <t>28-day compression test</t>
        </is>
      </c>
      <c r="C7" s="6" t="inlineStr">
        <is>
          <t>H</t>
        </is>
      </c>
    </row>
    <row r="8">
      <c r="A8" s="6">
        <v>5</v>
      </c>
      <c r="B8" s="4" t="inlineStr">
        <is>
          <t>Cure pile-cap concrete</t>
        </is>
      </c>
      <c r="C8" s="6" t="inlineStr">
        <is>
          <t>W</t>
        </is>
      </c>
    </row>
    <row r="10">
      <c r="A10" s="48" t="inlineStr">
        <is>
          <t>H = hold point (supervisor must attend); W = witness point</t>
        </is>
      </c>
    </row>
  </sheetData>
  <mergeCells count="1">
    <mergeCell ref="A1:C1"/>
  </mergeCells>
  <hyperlinks>
    <hyperlink ref="E1" location="'Index'!A71" display="← Index"/>
  </hyperlink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E5"/>
  <sheetViews>
    <sheetView workbookViewId="0">
      <selection activeCell="C4" sqref="C4:C5"/>
    </sheetView>
  </sheetViews>
  <sheetFormatPr defaultRowHeight="15"/>
  <cols>
    <col min="1" max="1" width="5.00" customWidth="1"/>
    <col min="2" max="2" width="34.00" customWidth="1"/>
    <col min="3" max="3" width="32.00" customWidth="1"/>
    <col min="5" max="5" width="12.00" customWidth="1"/>
  </cols>
  <sheetData>
    <row r="1">
      <c r="A1" s="29" t="inlineStr">
        <is>
          <t>UNIT RATE — MATERIAL BREAKDOWN</t>
        </is>
      </c>
      <c r="E1" s="106" t="inlineStr">
        <is>
          <t>← Index</t>
        </is>
      </c>
    </row>
    <row r="3">
      <c r="A3" s="3" t="inlineStr">
        <is>
          <t>No.</t>
        </is>
      </c>
      <c r="B3" s="3" t="inlineStr">
        <is>
          <t>Work item</t>
        </is>
      </c>
      <c r="C3" s="3" t="inlineStr">
        <is>
          <t>Materials</t>
        </is>
      </c>
    </row>
    <row r="4" ht="63.00" customHeight="1">
      <c r="A4" s="6">
        <v>1</v>
      </c>
      <c r="B4" s="47" t="inlineStr">
        <is>
          <t>Column concrete B22.5 (M300), 1×2 aggregate</t>
        </is>
      </c>
      <c r="C4" s="47" t="inlineStr">
        <is>
          <t xml:space="preserve">Cement PCB40
Concrete sand
1×2 crushed stone
Plasticiser</t>
        </is>
      </c>
    </row>
    <row r="5" ht="48.00" customHeight="1">
      <c r="A5" s="6">
        <v>2</v>
      </c>
      <c r="B5" s="47" t="inlineStr">
        <is>
          <t>Hollow-brick wall, cement mortar M75</t>
        </is>
      </c>
      <c r="C5" s="47" t="inlineStr">
        <is>
          <t xml:space="preserve">Two-hole hollow clay brick
Cement PCB40
Masonry sand</t>
        </is>
      </c>
    </row>
  </sheetData>
  <mergeCells count="1">
    <mergeCell ref="A1:C1"/>
  </mergeCells>
  <hyperlinks>
    <hyperlink ref="E1" location="'Index'!A72" display="← Index"/>
  </hyperlink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E7"/>
  <sheetViews>
    <sheetView workbookViewId="0">
      <selection activeCell="B4" sqref="B4:B7"/>
    </sheetView>
  </sheetViews>
  <sheetFormatPr defaultRowHeight="15"/>
  <cols>
    <col min="1" max="1" width="5.00" customWidth="1"/>
    <col min="2" max="2" width="40.00" customWidth="1"/>
    <col min="3" max="3" width="12.00" customWidth="1"/>
    <col min="5" max="5" width="12.00" customWidth="1"/>
  </cols>
  <sheetData>
    <row r="1">
      <c r="A1" s="29" t="inlineStr">
        <is>
          <t>KEY MILESTONES — 9-STOREY OFFICE BUILDING</t>
        </is>
      </c>
      <c r="E1" s="106" t="inlineStr">
        <is>
          <t>← Index</t>
        </is>
      </c>
    </row>
    <row r="3">
      <c r="A3" s="3" t="inlineStr">
        <is>
          <t>No.</t>
        </is>
      </c>
      <c r="B3" s="3" t="inlineStr">
        <is>
          <t>Milestone</t>
        </is>
      </c>
      <c r="C3" s="3" t="inlineStr">
        <is>
          <t>Date</t>
        </is>
      </c>
    </row>
    <row r="4">
      <c r="A4" s="6">
        <v>1</v>
      </c>
      <c r="B4" s="4" t="inlineStr">
        <is>
          <t>Bored piles completed</t>
        </is>
      </c>
      <c r="C4" s="12">
        <v>46096</v>
      </c>
    </row>
    <row r="5">
      <c r="A5" s="6">
        <v>2</v>
      </c>
      <c r="B5" s="4" t="inlineStr">
        <is>
          <t>Pile caps and ground beams completed</t>
        </is>
      </c>
      <c r="C5" s="12">
        <v>46142</v>
      </c>
    </row>
    <row r="6">
      <c r="A6" s="6">
        <v>3</v>
      </c>
      <c r="B6" s="4" t="inlineStr">
        <is>
          <t>Superstructure completed</t>
        </is>
      </c>
      <c r="C6" s="12">
        <v>46265</v>
      </c>
    </row>
    <row r="7">
      <c r="A7" s="6">
        <v>4</v>
      </c>
      <c r="B7" s="4" t="inlineStr">
        <is>
          <t>Handover for use</t>
        </is>
      </c>
      <c r="C7" s="12">
        <v>46371</v>
      </c>
    </row>
  </sheetData>
  <mergeCells count="1">
    <mergeCell ref="A1:C1"/>
  </mergeCells>
  <hyperlinks>
    <hyperlink ref="E1" location="'Index'!A73" display="← Index"/>
  </hyperlink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F6"/>
  <sheetViews>
    <sheetView workbookViewId="0">
      <selection activeCell="B4" sqref="B4:B6"/>
    </sheetView>
  </sheetViews>
  <sheetFormatPr defaultRowHeight="15"/>
  <cols>
    <col min="1" max="1" width="5.00" customWidth="1"/>
    <col min="2" max="2" width="44.00" customWidth="1"/>
    <col min="3" max="3" width="7.00" customWidth="1"/>
    <col min="4" max="4" width="10.00" customWidth="1"/>
    <col min="6" max="6" width="12.00" customWidth="1"/>
  </cols>
  <sheetData>
    <row r="1">
      <c r="A1" s="29" t="inlineStr">
        <is>
          <t>VARIATION QUANTITIES APPENDIX</t>
        </is>
      </c>
      <c r="F1" s="106" t="inlineStr">
        <is>
          <t>← Index</t>
        </is>
      </c>
    </row>
    <row r="3">
      <c r="A3" s="3" t="inlineStr">
        <is>
          <t>No.</t>
        </is>
      </c>
      <c r="B3" s="3" t="inlineStr">
        <is>
          <t>Description</t>
        </is>
      </c>
      <c r="C3" s="3" t="inlineStr">
        <is>
          <t>Unit</t>
        </is>
      </c>
      <c r="D3" s="3" t="inlineStr">
        <is>
          <t>Quantity</t>
        </is>
      </c>
    </row>
    <row r="4">
      <c r="A4" s="6">
        <v>1</v>
      </c>
      <c r="B4" s="4" t="inlineStr">
        <is>
          <t>Extra blinding concrete B7.5 (M100)</t>
        </is>
      </c>
      <c r="C4" s="6" t="inlineStr">
        <is>
          <t>m³</t>
        </is>
      </c>
      <c r="D4" s="32">
        <v>12</v>
      </c>
    </row>
    <row r="5">
      <c r="A5" s="6">
        <v>2</v>
      </c>
      <c r="B5" s="4" t="inlineStr">
        <is>
          <t>Extra D16 rebar for ground beams</t>
        </is>
      </c>
      <c r="C5" s="6" t="inlineStr">
        <is>
          <t>kg</t>
        </is>
      </c>
      <c r="D5" s="4">
        <v>850</v>
      </c>
    </row>
    <row r="6">
      <c r="A6" s="6">
        <v>3</v>
      </c>
      <c r="B6" s="4" t="inlineStr">
        <is>
          <t>Extra pile-cap side formwork</t>
        </is>
      </c>
      <c r="C6" s="6" t="inlineStr">
        <is>
          <t>m²</t>
        </is>
      </c>
      <c r="D6" s="32">
        <v>45</v>
      </c>
    </row>
  </sheetData>
  <mergeCells count="1">
    <mergeCell ref="A1:D1"/>
  </mergeCells>
  <hyperlinks>
    <hyperlink ref="F1" location="'Index'!A74" display="← Index"/>
  </hyperlink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E9"/>
  <sheetViews>
    <sheetView workbookViewId="0">
      <selection activeCell="B9" sqref="B9:C9"/>
    </sheetView>
  </sheetViews>
  <sheetFormatPr defaultRowHeight="15"/>
  <cols>
    <col min="1" max="1" width="9.00" customWidth="1"/>
    <col min="2" max="2" width="34.00" customWidth="1"/>
    <col min="3" max="3" width="17.00" customWidth="1"/>
    <col min="5" max="5" width="12.00" customWidth="1"/>
  </cols>
  <sheetData>
    <row r="1">
      <c r="A1" s="29" t="inlineStr">
        <is>
          <t>TENDER PRICE SUMMARY</t>
        </is>
      </c>
      <c r="E1" s="106" t="inlineStr">
        <is>
          <t>← Index</t>
        </is>
      </c>
    </row>
    <row r="3">
      <c r="A3" s="3" t="inlineStr">
        <is>
          <t>No.</t>
        </is>
      </c>
      <c r="B3" s="3" t="inlineStr">
        <is>
          <t>Section</t>
        </is>
      </c>
      <c r="C3" s="3" t="inlineStr">
        <is>
          <t>Amount (VND)</t>
        </is>
      </c>
    </row>
    <row r="4">
      <c r="A4" s="6">
        <v>1</v>
      </c>
      <c r="B4" s="4" t="inlineStr">
        <is>
          <t>Foundations</t>
        </is>
      </c>
      <c r="C4" s="33">
        <v>4286500000</v>
      </c>
    </row>
    <row r="5">
      <c r="A5" s="6">
        <v>2</v>
      </c>
      <c r="B5" s="4" t="inlineStr">
        <is>
          <t>Superstructure</t>
        </is>
      </c>
      <c r="C5" s="33">
        <v>12940000000</v>
      </c>
    </row>
    <row r="6">
      <c r="A6" s="6">
        <v>3</v>
      </c>
      <c r="B6" s="4" t="inlineStr">
        <is>
          <t>Finishes</t>
        </is>
      </c>
      <c r="C6" s="33">
        <v>7318200000</v>
      </c>
    </row>
    <row r="7">
      <c r="A7" s="31" t="inlineStr">
        <is>
          <t>Total</t>
        </is>
      </c>
      <c r="B7" s="4"/>
      <c r="C7" s="49">
        <v>24544700000</v>
      </c>
    </row>
    <row r="9" ht="46.50" customHeight="1">
      <c r="A9" s="48" t="inlineStr">
        <is>
          <t>Notes:</t>
        </is>
      </c>
      <c r="B9" s="50" t="inlineStr">
        <is>
          <t xml:space="preserve">Unit rates exclude VAT
Provisional value, settled on actual quantities
Applies to quantities accepted before 31/12/2026</t>
        </is>
      </c>
    </row>
  </sheetData>
  <mergeCells count="3">
    <mergeCell ref="A1:C1"/>
    <mergeCell ref="A7:B7"/>
    <mergeCell ref="B9:C9"/>
  </mergeCells>
  <hyperlinks>
    <hyperlink ref="E1" location="'Index'!A75" display="← Index"/>
  </hyperlink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E7"/>
  <sheetViews>
    <sheetView workbookViewId="0">
      <selection activeCell="B4" sqref="B4:B7"/>
    </sheetView>
  </sheetViews>
  <sheetFormatPr defaultRowHeight="15"/>
  <cols>
    <col min="1" max="1" width="5.00" customWidth="1"/>
    <col min="2" max="2" width="50.00" customWidth="1"/>
    <col min="3" max="3" width="12.00" customWidth="1"/>
    <col min="5" max="5" width="12.00" customWidth="1"/>
  </cols>
  <sheetData>
    <row r="1">
      <c r="A1" s="29" t="inlineStr">
        <is>
          <t>PRE-POUR CHECKLIST — LEVEL 3 SLAB</t>
        </is>
      </c>
      <c r="E1" s="106" t="inlineStr">
        <is>
          <t>← Index</t>
        </is>
      </c>
    </row>
    <row r="3">
      <c r="A3" s="3" t="inlineStr">
        <is>
          <t>No.</t>
        </is>
      </c>
      <c r="B3" s="3" t="inlineStr">
        <is>
          <t>Check item</t>
        </is>
      </c>
      <c r="C3" s="3" t="inlineStr">
        <is>
          <t>Notes</t>
        </is>
      </c>
    </row>
    <row r="4">
      <c r="A4" s="6">
        <v>1</v>
      </c>
      <c r="B4" s="4" t="inlineStr">
        <is>
          <t>Bar sizes and spacing as per drawings</t>
        </is>
      </c>
      <c r="C4" s="4"/>
    </row>
    <row r="5">
      <c r="A5" s="6">
        <v>2</v>
      </c>
      <c r="B5" s="4" t="inlineStr">
        <is>
          <t>Spacers in place, correct concrete cover</t>
        </is>
      </c>
      <c r="C5" s="4"/>
    </row>
    <row r="6">
      <c r="A6" s="6">
        <v>3</v>
      </c>
      <c r="B6" s="4" t="inlineStr">
        <is>
          <t>Formwork tight and firmly propped</t>
        </is>
      </c>
      <c r="C6" s="4"/>
    </row>
    <row r="7">
      <c r="A7" s="6">
        <v>4</v>
      </c>
      <c r="B7" s="4" t="inlineStr">
        <is>
          <t>Formwork cleaned and wetted</t>
        </is>
      </c>
      <c r="C7" s="4"/>
    </row>
  </sheetData>
  <mergeCells count="1">
    <mergeCell ref="A1:C1"/>
  </mergeCells>
  <hyperlinks>
    <hyperlink ref="E1" location="'Index'!A76" display="← Index"/>
  </hyperlink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E7"/>
  <sheetViews>
    <sheetView workbookViewId="0">
      <selection activeCell="B4" sqref="B4:B6"/>
    </sheetView>
  </sheetViews>
  <sheetFormatPr defaultRowHeight="15"/>
  <cols>
    <col min="1" max="1" width="5.00" customWidth="1"/>
    <col min="2" max="2" width="46.00" customWidth="1"/>
    <col min="3" max="3" width="12.00" customWidth="1"/>
    <col min="5" max="5" width="12.00" customWidth="1"/>
  </cols>
  <sheetData>
    <row r="1">
      <c r="A1" s="29" t="inlineStr">
        <is>
          <t>FOUNDATION COMPLETION — ACCEPTANCE DOCUMENTS</t>
        </is>
      </c>
      <c r="E1" s="106" t="inlineStr">
        <is>
          <t>← Index</t>
        </is>
      </c>
    </row>
    <row r="3">
      <c r="A3" s="3" t="inlineStr">
        <is>
          <t>No.</t>
        </is>
      </c>
      <c r="B3" s="3" t="inlineStr">
        <is>
          <t>Document</t>
        </is>
      </c>
      <c r="C3" s="3" t="inlineStr">
        <is>
          <t>Submitted</t>
        </is>
      </c>
    </row>
    <row r="4">
      <c r="A4" s="6">
        <v>1</v>
      </c>
      <c r="B4" s="4" t="inlineStr">
        <is>
          <t>☐ Foundation rebar acceptance record</t>
        </is>
      </c>
      <c r="C4" s="12">
        <v>46300</v>
      </c>
    </row>
    <row r="5">
      <c r="A5" s="6">
        <v>2</v>
      </c>
      <c r="B5" s="4" t="inlineStr">
        <is>
          <t>☐ 28-day compression test results</t>
        </is>
      </c>
      <c r="C5" s="12">
        <v>46300</v>
      </c>
    </row>
    <row r="6">
      <c r="A6" s="6">
        <v>3</v>
      </c>
      <c r="B6" s="4" t="inlineStr">
        <is>
          <t>☐ Foundation construction diary</t>
        </is>
      </c>
      <c r="C6" s="12">
        <v>46301</v>
      </c>
    </row>
    <row r="7">
      <c r="A7" s="6">
        <v>4</v>
      </c>
      <c r="B7" s="4" t="inlineStr">
        <is>
          <t>☐ Foundation as-built drawings</t>
        </is>
      </c>
      <c r="C7" s="4"/>
    </row>
  </sheetData>
  <mergeCells count="1">
    <mergeCell ref="A1:C1"/>
  </mergeCells>
  <hyperlinks>
    <hyperlink ref="E1" location="'Index'!A77" display="← Index"/>
  </hyperlink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E7"/>
  <sheetViews>
    <sheetView workbookViewId="0">
      <selection activeCell="B6" sqref="B6:B7"/>
    </sheetView>
  </sheetViews>
  <sheetFormatPr defaultRowHeight="15"/>
  <cols>
    <col min="1" max="1" width="5.00" customWidth="1"/>
    <col min="2" max="2" width="48.00" customWidth="1"/>
    <col min="3" max="3" width="24.00" customWidth="1"/>
    <col min="5" max="5" width="12.00" customWidth="1"/>
  </cols>
  <sheetData>
    <row r="1">
      <c r="A1" s="29" t="inlineStr">
        <is>
          <t>INCOMING MATERIAL CHECK — STEEL LOT OF 12/08/2026</t>
        </is>
      </c>
      <c r="E1" s="106" t="inlineStr">
        <is>
          <t>← Index</t>
        </is>
      </c>
    </row>
    <row r="3">
      <c r="A3" s="3" t="inlineStr">
        <is>
          <t>No.</t>
        </is>
      </c>
      <c r="B3" s="3" t="inlineStr">
        <is>
          <t>Check item</t>
        </is>
      </c>
      <c r="C3" s="3" t="inlineStr">
        <is>
          <t>Notes</t>
        </is>
      </c>
    </row>
    <row r="4">
      <c r="A4" s="6">
        <v>1</v>
      </c>
      <c r="B4" s="4" t="inlineStr">
        <is>
          <t>☑ CO/CQ certificates complete</t>
        </is>
      </c>
      <c r="C4" s="4"/>
    </row>
    <row r="5">
      <c r="A5" s="6">
        <v>2</v>
      </c>
      <c r="B5" s="4" t="inlineStr">
        <is>
          <t>☑ Labels and bar sizes match the order</t>
        </is>
      </c>
      <c r="C5" s="4"/>
    </row>
    <row r="6">
      <c r="A6" s="6">
        <v>3</v>
      </c>
      <c r="B6" s="4" t="inlineStr">
        <is>
          <t>☐ No surface rust, no bent bars</t>
        </is>
      </c>
      <c r="C6" s="4" t="inlineStr">
        <is>
          <t>Surface rust on bundle 3</t>
        </is>
      </c>
    </row>
    <row r="7">
      <c r="A7" s="6">
        <v>4</v>
      </c>
      <c r="B7" s="4" t="inlineStr">
        <is>
          <t>☐ Tensile test results meet the spec</t>
        </is>
      </c>
      <c r="C7" s="4" t="inlineStr">
        <is>
          <t>D16 sample failed</t>
        </is>
      </c>
    </row>
  </sheetData>
  <mergeCells count="1">
    <mergeCell ref="A1:C1"/>
  </mergeCells>
  <hyperlinks>
    <hyperlink ref="E1" location="'Index'!A78" display="← Index"/>
  </hyperlink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D6"/>
  <sheetViews>
    <sheetView workbookViewId="0">
      <selection activeCell="B4" sqref="B4:B6"/>
    </sheetView>
  </sheetViews>
  <sheetFormatPr defaultRowHeight="15"/>
  <cols>
    <col min="1" max="1" width="5.00" customWidth="1"/>
    <col min="2" max="2" width="54.00" customWidth="1"/>
    <col min="4" max="4" width="12.00" customWidth="1"/>
  </cols>
  <sheetData>
    <row r="1">
      <c r="A1" s="29" t="inlineStr">
        <is>
          <t>BORED PILE METHOD STATEMENT</t>
        </is>
      </c>
      <c r="D1" s="106" t="inlineStr">
        <is>
          <t>← Index</t>
        </is>
      </c>
    </row>
    <row r="3">
      <c r="A3" s="3" t="inlineStr">
        <is>
          <t>No.</t>
        </is>
      </c>
      <c r="B3" s="3" t="inlineStr">
        <is>
          <t>Sequence</t>
        </is>
      </c>
    </row>
    <row r="4" ht="46.50" customHeight="1">
      <c r="A4" s="6">
        <v>1</v>
      </c>
      <c r="B4" s="47" t="inlineStr">
        <is>
          <t xml:space="preserve">● Clear the site, set out pile centres
● Bore to the design level
● Lower the cage, pour concrete</t>
        </is>
      </c>
    </row>
    <row r="5" ht="31.50" customHeight="1">
      <c r="A5" s="6">
        <v>2</v>
      </c>
      <c r="B5" s="47" t="inlineStr">
        <is>
          <t xml:space="preserve">− Check the borehole depth
− Measure the base sediment</t>
        </is>
      </c>
    </row>
    <row r="6">
      <c r="A6" s="6">
        <v>3</v>
      </c>
      <c r="B6" s="4" t="inlineStr">
        <is>
          <t>★ Pile concrete B30 (M400)</t>
        </is>
      </c>
    </row>
  </sheetData>
  <mergeCells count="1">
    <mergeCell ref="A1:B1"/>
  </mergeCells>
  <hyperlinks>
    <hyperlink ref="D1" location="'Index'!A79" display="← Index"/>
  </hyperlink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E7"/>
  <sheetViews>
    <sheetView workbookViewId="0">
      <selection activeCell="A4" sqref="A4:A7"/>
    </sheetView>
  </sheetViews>
  <sheetFormatPr defaultRowHeight="15"/>
  <cols>
    <col min="1" max="1" width="42.00" customWidth="1"/>
    <col min="2" max="2" width="12.00" customWidth="1"/>
    <col min="3" max="3" width="9.00" customWidth="1"/>
    <col min="5" max="5" width="12.00" customWidth="1"/>
  </cols>
  <sheetData>
    <row r="1">
      <c r="A1" s="29" t="inlineStr">
        <is>
          <t>FOUNDATION TASK LIST</t>
        </is>
      </c>
      <c r="E1" s="106" t="inlineStr">
        <is>
          <t>← Index</t>
        </is>
      </c>
    </row>
    <row r="3">
      <c r="A3" s="3" t="inlineStr">
        <is>
          <t>Task</t>
        </is>
      </c>
      <c r="B3" s="3" t="inlineStr">
        <is>
          <t>Start</t>
        </is>
      </c>
      <c r="C3" s="3" t="inlineStr">
        <is>
          <t>Days</t>
        </is>
      </c>
    </row>
    <row r="4">
      <c r="A4" s="4" t="inlineStr">
        <is>
          <t>Excavate footings, grids A-D</t>
        </is>
      </c>
      <c r="B4" s="12">
        <v>46083</v>
      </c>
      <c r="C4" s="4">
        <v>6</v>
      </c>
    </row>
    <row r="5">
      <c r="A5" s="4" t="inlineStr">
        <is>
          <t>Pour blinding concrete</t>
        </is>
      </c>
      <c r="B5" s="12">
        <v>46090</v>
      </c>
      <c r="C5" s="4">
        <v>2</v>
      </c>
    </row>
    <row r="6" ht="31.50" customHeight="1">
      <c r="A6" s="47" t="inlineStr">
        <is>
          <t xml:space="preserve">Fabricate pile-cap rebar
Fix pile-cap rebar</t>
        </is>
      </c>
      <c r="B6" s="12">
        <v>46092</v>
      </c>
      <c r="C6" s="4">
        <v>5</v>
      </c>
    </row>
    <row r="7">
      <c r="A7" s="4" t="inlineStr">
        <is>
          <t>Pour pile-cap concrete</t>
        </is>
      </c>
      <c r="B7" s="12">
        <v>46098</v>
      </c>
      <c r="C7" s="4">
        <v>2</v>
      </c>
    </row>
  </sheetData>
  <mergeCells count="1">
    <mergeCell ref="A1:C1"/>
  </mergeCells>
  <hyperlinks>
    <hyperlink ref="E1" location="'Index'!A80" display="← Index"/>
  </hyperlink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D7"/>
  <sheetViews>
    <sheetView workbookViewId="0">
      <selection activeCell="A4" sqref="A4:A7"/>
    </sheetView>
  </sheetViews>
  <sheetFormatPr defaultRowHeight="15"/>
  <cols>
    <col min="1" max="1" width="36.00" customWidth="1"/>
    <col min="2" max="2" width="18.00" customWidth="1"/>
    <col min="4" max="4" width="12.00" customWidth="1"/>
  </cols>
  <sheetData>
    <row r="1">
      <c r="A1" s="29" t="inlineStr">
        <is>
          <t>QUANTITY SUMMARY</t>
        </is>
      </c>
      <c r="D1" s="106" t="inlineStr">
        <is>
          <t>← Index</t>
        </is>
      </c>
    </row>
    <row r="3">
      <c r="A3" s="3" t="inlineStr">
        <is>
          <t>Section</t>
        </is>
      </c>
      <c r="B3" s="3" t="inlineStr">
        <is>
          <t>Value (VND)</t>
        </is>
      </c>
    </row>
    <row r="4">
      <c r="A4" s="25" t="inlineStr">
        <is>
          <t>Earthworks</t>
        </is>
      </c>
      <c r="B4" s="33">
        <v>386400000</v>
      </c>
    </row>
    <row r="5">
      <c r="A5" s="25" t="inlineStr">
        <is>
          <t>Concrete works</t>
        </is>
      </c>
      <c r="B5" s="33">
        <v>2915700000</v>
      </c>
    </row>
    <row r="6">
      <c r="A6" s="25" t="inlineStr">
        <is>
          <t>Reinforcement works</t>
        </is>
      </c>
      <c r="B6" s="33">
        <v>1842300000</v>
      </c>
    </row>
    <row r="7">
      <c r="A7" s="25" t="inlineStr">
        <is>
          <t>Formwork</t>
        </is>
      </c>
      <c r="B7" s="33">
        <v>624900000</v>
      </c>
    </row>
  </sheetData>
  <mergeCells count="1">
    <mergeCell ref="A1:B1"/>
  </mergeCells>
  <hyperlinks>
    <hyperlink ref="D1" location="'Index'!A81" display="← Index"/>
  </hyperlink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D7"/>
  <sheetViews>
    <sheetView workbookViewId="0">
      <selection activeCell="A4" sqref="A4:A7"/>
    </sheetView>
  </sheetViews>
  <sheetFormatPr defaultRowHeight="15"/>
  <cols>
    <col min="1" max="1" width="50.00" customWidth="1"/>
    <col min="2" max="2" width="9.00" customWidth="1"/>
    <col min="4" max="4" width="12.00" customWidth="1"/>
  </cols>
  <sheetData>
    <row r="1">
      <c r="A1" s="29" t="inlineStr">
        <is>
          <t>SUPERSTRUCTURE METHOD STATEMENT</t>
        </is>
      </c>
      <c r="D1" s="106" t="inlineStr">
        <is>
          <t>← Index</t>
        </is>
      </c>
    </row>
    <row r="3">
      <c r="A3" s="3" t="inlineStr">
        <is>
          <t>Section</t>
        </is>
      </c>
      <c r="B3" s="3" t="inlineStr">
        <is>
          <t>Page</t>
        </is>
      </c>
    </row>
    <row r="4">
      <c r="A4" s="4" t="inlineStr">
        <is>
          <t>Site preparation</t>
        </is>
      </c>
      <c r="B4" s="4">
        <v>3</v>
      </c>
    </row>
    <row r="5">
      <c r="A5" s="4" t="inlineStr">
        <is>
          <t>Formwork and scaffolding</t>
        </is>
      </c>
      <c r="B5" s="4">
        <v>7</v>
      </c>
    </row>
    <row r="6">
      <c r="A6" s="4" t="inlineStr">
        <is>
          <t>Reinforcement method</t>
        </is>
      </c>
      <c r="B6" s="4">
        <v>15</v>
      </c>
    </row>
    <row r="7">
      <c r="A7" s="4" t="inlineStr">
        <is>
          <t>Health, safety and environment</t>
        </is>
      </c>
      <c r="B7" s="4">
        <v>22</v>
      </c>
    </row>
  </sheetData>
  <mergeCells count="1">
    <mergeCell ref="A1:B1"/>
  </mergeCells>
  <hyperlinks>
    <hyperlink ref="D1" location="'Index'!A82" display="← Index"/>
  </hyperlink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E7"/>
  <sheetViews>
    <sheetView workbookViewId="0">
      <selection activeCell="A4" sqref="A4:A7"/>
    </sheetView>
  </sheetViews>
  <sheetFormatPr defaultRowHeight="15"/>
  <cols>
    <col min="1" max="1" width="44.00" customWidth="1"/>
    <col min="2" max="2" width="7.00" customWidth="1"/>
    <col min="3" max="3" width="10.00" customWidth="1"/>
    <col min="5" max="5" width="12.00" customWidth="1"/>
  </cols>
  <sheetData>
    <row r="1">
      <c r="A1" s="29" t="inlineStr">
        <is>
          <t>PILE-CAP REINFORCEMENT</t>
        </is>
      </c>
      <c r="E1" s="106" t="inlineStr">
        <is>
          <t>← Index</t>
        </is>
      </c>
    </row>
    <row r="3">
      <c r="A3" s="3" t="inlineStr">
        <is>
          <t>Task</t>
        </is>
      </c>
      <c r="B3" s="3" t="inlineStr">
        <is>
          <t>Unit</t>
        </is>
      </c>
      <c r="C3" s="3" t="inlineStr">
        <is>
          <t>Quantity</t>
        </is>
      </c>
    </row>
    <row r="4">
      <c r="A4" s="4" t="inlineStr">
        <is>
          <t>Fabricate pile-cap rebar</t>
        </is>
      </c>
      <c r="B4" s="6" t="inlineStr">
        <is>
          <t>t</t>
        </is>
      </c>
      <c r="C4" s="32">
        <v>18.6</v>
      </c>
    </row>
    <row r="5">
      <c r="A5" s="4" t="inlineStr">
        <is>
          <t>Fix pile-cap rebar</t>
        </is>
      </c>
      <c r="B5" s="6" t="inlineStr">
        <is>
          <t>t</t>
        </is>
      </c>
      <c r="C5" s="32">
        <v>18.6</v>
      </c>
    </row>
    <row r="6">
      <c r="A6" s="4" t="inlineStr">
        <is>
          <t>Tie cover spacers</t>
        </is>
      </c>
      <c r="B6" s="6" t="inlineStr">
        <is>
          <t>pcs</t>
        </is>
      </c>
      <c r="C6" s="33">
        <v>1240</v>
      </c>
    </row>
    <row r="7">
      <c r="A7" s="4" t="inlineStr">
        <is>
          <t>Weld D25 bar splices</t>
        </is>
      </c>
      <c r="B7" s="6" t="inlineStr">
        <is>
          <t>joints</t>
        </is>
      </c>
      <c r="C7" s="4">
        <v>96</v>
      </c>
    </row>
  </sheetData>
  <mergeCells count="1">
    <mergeCell ref="A1:C1"/>
  </mergeCells>
  <hyperlinks>
    <hyperlink ref="E1" location="'Index'!A83" display="← Index"/>
  </hyperlink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E7"/>
  <sheetViews>
    <sheetView workbookViewId="0">
      <selection activeCell="A4" sqref="A4:A7"/>
    </sheetView>
  </sheetViews>
  <sheetFormatPr defaultRowHeight="15"/>
  <cols>
    <col min="1" max="1" width="44.00" customWidth="1"/>
    <col min="2" max="2" width="7.00" customWidth="1"/>
    <col min="3" max="3" width="10.00" customWidth="1"/>
    <col min="5" max="5" width="12.00" customWidth="1"/>
  </cols>
  <sheetData>
    <row r="1">
      <c r="A1" s="29" t="inlineStr">
        <is>
          <t>FOUNDATION QUANTITIES</t>
        </is>
      </c>
      <c r="E1" s="106" t="inlineStr">
        <is>
          <t>← Index</t>
        </is>
      </c>
    </row>
    <row r="3">
      <c r="A3" s="3" t="inlineStr">
        <is>
          <t>Work item</t>
        </is>
      </c>
      <c r="B3" s="3" t="inlineStr">
        <is>
          <t>Unit</t>
        </is>
      </c>
      <c r="C3" s="3" t="inlineStr">
        <is>
          <t>Quantity</t>
        </is>
      </c>
    </row>
    <row r="4">
      <c r="A4" s="4" t="inlineStr">
        <is>
          <t>1. Machine excavation of footings</t>
        </is>
      </c>
      <c r="B4" s="6" t="inlineStr">
        <is>
          <t>m³</t>
        </is>
      </c>
      <c r="C4" s="32">
        <v>412.6</v>
      </c>
    </row>
    <row r="5">
      <c r="A5" s="4" t="inlineStr">
        <is>
          <t>2. Blinding concrete B7.5 (M100)</t>
        </is>
      </c>
      <c r="B5" s="6" t="inlineStr">
        <is>
          <t>m³</t>
        </is>
      </c>
      <c r="C5" s="32">
        <v>18.4</v>
      </c>
    </row>
    <row r="6">
      <c r="A6" s="4" t="inlineStr">
        <is>
          <t>3. Footing rebar, fabricate and fix</t>
        </is>
      </c>
      <c r="B6" s="6" t="inlineStr">
        <is>
          <t>t</t>
        </is>
      </c>
      <c r="C6" s="32">
        <v>18.6</v>
      </c>
    </row>
    <row r="7">
      <c r="A7" s="4" t="inlineStr">
        <is>
          <t>3. Pile-cap formwork</t>
        </is>
      </c>
      <c r="B7" s="6" t="inlineStr">
        <is>
          <t>m²</t>
        </is>
      </c>
      <c r="C7" s="32">
        <v>96.5</v>
      </c>
    </row>
  </sheetData>
  <mergeCells count="1">
    <mergeCell ref="A1:C1"/>
  </mergeCells>
  <hyperlinks>
    <hyperlink ref="E1" location="'Index'!A84" display="← Index"/>
  </hyperlink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E11"/>
  <sheetViews>
    <sheetView workbookViewId="0">
      <selection activeCell="A4" sqref="A4:A11"/>
    </sheetView>
  </sheetViews>
  <sheetFormatPr defaultRowHeight="15"/>
  <cols>
    <col min="1" max="1" width="46.00" customWidth="1"/>
    <col min="2" max="2" width="7.00" customWidth="1"/>
    <col min="3" max="3" width="10.00" customWidth="1"/>
    <col min="5" max="5" width="12.00" customWidth="1"/>
  </cols>
  <sheetData>
    <row r="1">
      <c r="A1" s="29" t="inlineStr">
        <is>
          <t>DETAILED ESTIMATE — 9-STOREY OFFICE BUILDING</t>
        </is>
      </c>
      <c r="E1" s="106" t="inlineStr">
        <is>
          <t>← Index</t>
        </is>
      </c>
    </row>
    <row r="3">
      <c r="A3" s="3" t="inlineStr">
        <is>
          <t>Item</t>
        </is>
      </c>
      <c r="B3" s="3" t="inlineStr">
        <is>
          <t>Unit</t>
        </is>
      </c>
      <c r="C3" s="3" t="inlineStr">
        <is>
          <t>Quantity</t>
        </is>
      </c>
    </row>
    <row r="4">
      <c r="A4" s="25" t="inlineStr">
        <is>
          <t>Substructure</t>
        </is>
      </c>
      <c r="B4" s="4"/>
      <c r="C4" s="4"/>
    </row>
    <row r="5">
      <c r="A5" s="51" t="inlineStr">
        <is>
          <t>Earthworks</t>
        </is>
      </c>
      <c r="B5" s="4"/>
      <c r="C5" s="4"/>
    </row>
    <row r="6">
      <c r="A6" s="52" t="inlineStr">
        <is>
          <t>Machine excavation</t>
        </is>
      </c>
      <c r="B6" s="6" t="inlineStr">
        <is>
          <t>m³</t>
        </is>
      </c>
      <c r="C6" s="32">
        <v>412.6</v>
      </c>
    </row>
    <row r="7">
      <c r="A7" s="52" t="inlineStr">
        <is>
          <t>Hand excavation</t>
        </is>
      </c>
      <c r="B7" s="6" t="inlineStr">
        <is>
          <t>m³</t>
        </is>
      </c>
      <c r="C7" s="32">
        <v>45.8</v>
      </c>
    </row>
    <row r="8">
      <c r="A8" s="51" t="inlineStr">
        <is>
          <t>Foundation concrete</t>
        </is>
      </c>
      <c r="B8" s="4"/>
      <c r="C8" s="4"/>
    </row>
    <row r="9">
      <c r="A9" s="52" t="inlineStr">
        <is>
          <t>Blinding concrete B7.5 (M100)</t>
        </is>
      </c>
      <c r="B9" s="6" t="inlineStr">
        <is>
          <t>m³</t>
        </is>
      </c>
      <c r="C9" s="32">
        <v>18.4</v>
      </c>
    </row>
    <row r="10">
      <c r="A10" s="52" t="inlineStr">
        <is>
          <t>Footing concrete B22.5 (M300)</t>
        </is>
      </c>
      <c r="B10" s="6" t="inlineStr">
        <is>
          <t>m³</t>
        </is>
      </c>
      <c r="C10" s="32">
        <v>186.2</v>
      </c>
    </row>
    <row r="11">
      <c r="A11" s="25" t="inlineStr">
        <is>
          <t>Superstructure</t>
        </is>
      </c>
      <c r="B11" s="4"/>
      <c r="C11" s="4"/>
    </row>
  </sheetData>
  <mergeCells count="1">
    <mergeCell ref="A1:C1"/>
  </mergeCells>
  <hyperlinks>
    <hyperlink ref="E1" location="'Index'!A85" display="← Index"/>
  </hyperlink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E8"/>
  <sheetViews>
    <sheetView workbookViewId="0">
      <selection activeCell="A4" sqref="A4:A8"/>
    </sheetView>
  </sheetViews>
  <sheetFormatPr defaultRowHeight="15"/>
  <cols>
    <col min="1" max="1" width="46.00" customWidth="1"/>
    <col min="2" max="2" width="7.00" customWidth="1"/>
    <col min="3" max="3" width="10.00" customWidth="1"/>
    <col min="5" max="5" width="12.00" customWidth="1"/>
  </cols>
  <sheetData>
    <row r="1">
      <c r="A1" s="29" t="inlineStr">
        <is>
          <t>DETAILED ESTIMATE — 9-STOREY OFFICE BUILDING</t>
        </is>
      </c>
      <c r="E1" s="106" t="inlineStr">
        <is>
          <t>← Index</t>
        </is>
      </c>
    </row>
    <row r="3">
      <c r="A3" s="3" t="inlineStr">
        <is>
          <t>Item</t>
        </is>
      </c>
      <c r="B3" s="3" t="inlineStr">
        <is>
          <t>Unit</t>
        </is>
      </c>
      <c r="C3" s="3" t="inlineStr">
        <is>
          <t>Quantity</t>
        </is>
      </c>
    </row>
    <row r="4">
      <c r="A4" s="25" t="inlineStr">
        <is>
          <t>1. Substructure</t>
        </is>
      </c>
      <c r="B4" s="4"/>
      <c r="C4" s="4"/>
    </row>
    <row r="5">
      <c r="A5" s="51" t="inlineStr">
        <is>
          <t>1.1. Earthworks</t>
        </is>
      </c>
      <c r="B5" s="4"/>
      <c r="C5" s="4"/>
    </row>
    <row r="6">
      <c r="A6" s="52" t="inlineStr">
        <is>
          <t>1.1.1. Machine excavation</t>
        </is>
      </c>
      <c r="B6" s="6" t="inlineStr">
        <is>
          <t>m³</t>
        </is>
      </c>
      <c r="C6" s="32">
        <v>412.6</v>
      </c>
    </row>
    <row r="7">
      <c r="A7" s="52" t="inlineStr">
        <is>
          <t>1.1.2. Hand excavation</t>
        </is>
      </c>
      <c r="B7" s="6" t="inlineStr">
        <is>
          <t>m³</t>
        </is>
      </c>
      <c r="C7" s="32">
        <v>45.8</v>
      </c>
    </row>
    <row r="8">
      <c r="A8" s="25" t="inlineStr">
        <is>
          <t>2. Superstructure</t>
        </is>
      </c>
      <c r="B8" s="4"/>
      <c r="C8" s="4"/>
    </row>
  </sheetData>
  <mergeCells count="1">
    <mergeCell ref="A1:C1"/>
  </mergeCells>
  <hyperlinks>
    <hyperlink ref="E1" location="'Index'!A86" display="← Index"/>
  </hyperlink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D5"/>
  <sheetViews>
    <sheetView workbookViewId="0">
      <selection activeCell="B2" sqref="B2:B5"/>
    </sheetView>
  </sheetViews>
  <sheetFormatPr defaultRowHeight="15"/>
  <cols>
    <col min="1" max="1" width="5.00" customWidth="1"/>
    <col min="2" max="2" width="54.00" customWidth="1"/>
    <col min="4" max="4" width="12.00" customWidth="1"/>
  </cols>
  <sheetData>
    <row r="1">
      <c r="A1" s="3" t="inlineStr">
        <is>
          <t>No.</t>
        </is>
      </c>
      <c r="B1" s="3" t="inlineStr">
        <is>
          <t>Work description</t>
        </is>
      </c>
      <c r="D1" s="106" t="inlineStr">
        <is>
          <t>← Index</t>
        </is>
      </c>
    </row>
    <row r="2">
      <c r="A2" s="6">
        <v>1</v>
      </c>
      <c r="B2" s="4" t="inlineStr">
        <is>
          <t>pour  column concrete, level 3. inspect before pouring</t>
        </is>
      </c>
    </row>
    <row r="3">
      <c r="A3" s="6">
        <v>2</v>
      </c>
      <c r="B3" s="4" t="inlineStr">
        <is>
          <t>INSTALL BEAM AND SLAB FORMWORK PER TCVN 4453</t>
        </is>
      </c>
    </row>
    <row r="4">
      <c r="A4" s="6">
        <v>3</v>
      </c>
      <c r="B4" s="4" t="inlineStr">
        <is>
          <t>note: check level of column C1</t>
        </is>
      </c>
    </row>
    <row r="5">
      <c r="A5" s="6">
        <v>4</v>
      </c>
      <c r="B5" s="4" t="inlineStr">
        <is>
          <t>concrete strength reaches 30 MPa. sample per TCVN 3105</t>
        </is>
      </c>
    </row>
  </sheetData>
  <hyperlinks>
    <hyperlink ref="D1" location="'Index'!A87" display="← Index"/>
  </hyperlink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D4"/>
  <sheetViews>
    <sheetView workbookViewId="0">
      <selection activeCell="A1" sqref="A1:A4"/>
    </sheetView>
  </sheetViews>
  <sheetFormatPr defaultRowHeight="15"/>
  <cols>
    <col min="1" max="1" width="46.00" customWidth="1"/>
    <col min="2" max="2" width="10.00" customWidth="1"/>
    <col min="4" max="4" width="12.00" customWidth="1"/>
  </cols>
  <sheetData>
    <row r="1">
      <c r="A1" s="18" t="inlineStr">
        <is>
          <t>Construction work acceptance record</t>
        </is>
      </c>
      <c r="D1" s="106" t="inlineStr">
        <is>
          <t>← Index</t>
        </is>
      </c>
    </row>
    <row r="2">
      <c r="A2" s="18" t="inlineStr">
        <is>
          <t>Concreting of level-3 columns</t>
        </is>
      </c>
    </row>
    <row r="3">
      <c r="A3" s="18" t="inlineStr">
        <is>
          <t>Owner: Project Management Unit No. 2</t>
        </is>
      </c>
    </row>
    <row r="4">
      <c r="A4" s="18" t="inlineStr">
        <is>
          <t>Concrete B25, strength 30 MPa</t>
        </is>
      </c>
    </row>
  </sheetData>
  <hyperlinks>
    <hyperlink ref="D1" location="'Index'!A88" display="← Index"/>
  </hyperlink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D5"/>
  <sheetViews>
    <sheetView workbookViewId="0">
      <selection activeCell="B2" sqref="B2:B5"/>
    </sheetView>
  </sheetViews>
  <sheetFormatPr defaultRowHeight="15"/>
  <cols>
    <col min="1" max="1" width="5.00" customWidth="1"/>
    <col min="2" max="2" width="46.00" customWidth="1"/>
    <col min="4" max="4" width="12.00" customWidth="1"/>
  </cols>
  <sheetData>
    <row r="1">
      <c r="A1" s="3" t="inlineStr">
        <is>
          <t>No.</t>
        </is>
      </c>
      <c r="B1" s="3" t="inlineStr">
        <is>
          <t>Work item</t>
        </is>
      </c>
      <c r="D1" s="106" t="inlineStr">
        <is>
          <t>← Index</t>
        </is>
      </c>
    </row>
    <row r="2">
      <c r="A2" s="6">
        <v>1</v>
      </c>
      <c r="B2" s="4" t="inlineStr">
        <is>
          <t>REINFORCED CONCRETE FOOTING M1</t>
        </is>
      </c>
    </row>
    <row r="3">
      <c r="A3" s="6">
        <v>2</v>
      </c>
      <c r="B3" s="4" t="inlineStr">
        <is>
          <t>HDPE PIPE D110 PER TCVN 7305</t>
        </is>
      </c>
    </row>
    <row r="4">
      <c r="A4" s="6">
        <v>3</v>
      </c>
      <c r="B4" s="4" t="inlineStr">
        <is>
          <t>Lean Concrete With 4x6 Stone</t>
        </is>
      </c>
    </row>
    <row r="5">
      <c r="A5" s="6">
        <v>4</v>
      </c>
      <c r="B5" s="4" t="inlineStr">
        <is>
          <t>Concrete Strength 30 MPa</t>
        </is>
      </c>
    </row>
  </sheetData>
  <hyperlinks>
    <hyperlink ref="D1" location="'Index'!A89" display="← Index"/>
  </hyperlink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E6"/>
  <sheetViews>
    <sheetView workbookViewId="0">
      <selection activeCell="B2" sqref="B2:B6"/>
    </sheetView>
  </sheetViews>
  <sheetFormatPr defaultRowHeight="15"/>
  <cols>
    <col min="1" max="1" width="5.00" customWidth="1"/>
    <col min="2" max="2" width="40.00" customWidth="1"/>
    <col min="3" max="3" width="18.00" customWidth="1"/>
    <col min="5" max="5" width="12.00" customWidth="1"/>
  </cols>
  <sheetData>
    <row r="1">
      <c r="A1" s="3" t="inlineStr">
        <is>
          <t>No.</t>
        </is>
      </c>
      <c r="B1" s="3" t="inlineStr">
        <is>
          <t>Name / Company</t>
        </is>
      </c>
      <c r="C1" s="3" t="inlineStr">
        <is>
          <t>Role</t>
        </is>
      </c>
      <c r="E1" s="106" t="inlineStr">
        <is>
          <t>← Index</t>
        </is>
      </c>
    </row>
    <row r="2">
      <c r="A2" s="6">
        <v>1</v>
      </c>
      <c r="B2" s="4" t="inlineStr">
        <is>
          <t>nguyễn văn an</t>
        </is>
      </c>
      <c r="C2" s="6" t="inlineStr">
        <is>
          <t>Site manager</t>
        </is>
      </c>
    </row>
    <row r="3">
      <c r="A3" s="6">
        <v>2</v>
      </c>
      <c r="B3" s="4" t="inlineStr">
        <is>
          <t>TRẦN THỊ BÌNH</t>
        </is>
      </c>
      <c r="C3" s="6" t="inlineStr">
        <is>
          <t>QA/QC engineer</t>
        </is>
      </c>
    </row>
    <row r="4">
      <c r="A4" s="6">
        <v>3</v>
      </c>
      <c r="B4" s="4" t="inlineStr">
        <is>
          <t>lê Hoàng nam</t>
        </is>
      </c>
      <c r="C4" s="6" t="inlineStr">
        <is>
          <t>Foreman</t>
        </is>
      </c>
    </row>
    <row r="5">
      <c r="A5" s="6">
        <v>4</v>
      </c>
      <c r="B5" s="4" t="inlineStr">
        <is>
          <t>HOANG LONG CONSTRUCTION JSC</t>
        </is>
      </c>
      <c r="C5" s="6" t="inlineStr">
        <is>
          <t>Subcontractor</t>
        </is>
      </c>
    </row>
    <row r="6">
      <c r="A6" s="6">
        <v>5</v>
      </c>
      <c r="B6" s="4" t="inlineStr">
        <is>
          <t>site team QA/QC block C1</t>
        </is>
      </c>
      <c r="C6" s="6" t="inlineStr">
        <is>
          <t>Crew</t>
        </is>
      </c>
    </row>
  </sheetData>
  <hyperlinks>
    <hyperlink ref="E1" location="'Index'!A90" display="← Index"/>
  </hyperlink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D4"/>
  <sheetViews>
    <sheetView workbookViewId="0">
      <selection activeCell="B2" sqref="B2:B4"/>
    </sheetView>
  </sheetViews>
  <sheetFormatPr defaultRowHeight="15"/>
  <cols>
    <col min="1" max="1" width="5.00" customWidth="1"/>
    <col min="2" max="2" width="56.00" customWidth="1"/>
    <col min="4" max="4" width="12.00" customWidth="1"/>
  </cols>
  <sheetData>
    <row r="1">
      <c r="A1" s="3" t="inlineStr">
        <is>
          <t>No.</t>
        </is>
      </c>
      <c r="B1" s="3" t="inlineStr">
        <is>
          <t>Description</t>
        </is>
      </c>
      <c r="D1" s="106" t="inlineStr">
        <is>
          <t>← Index</t>
        </is>
      </c>
    </row>
    <row r="2">
      <c r="A2" s="6">
        <v>1</v>
      </c>
      <c r="B2" s="4" t="inlineStr">
        <is>
          <t>acceptance of beam and slab rebar per tcvn 5574:2018</t>
        </is>
      </c>
    </row>
    <row r="3">
      <c r="A3" s="6">
        <v>2</v>
      </c>
      <c r="B3" s="4" t="inlineStr">
        <is>
          <t>contractor: hoang long construction jsc</t>
        </is>
      </c>
    </row>
    <row r="4">
      <c r="A4" s="6">
        <v>3</v>
      </c>
      <c r="B4" s="4" t="inlineStr">
        <is>
          <t>supervisor: engineer nguyen van an</t>
        </is>
      </c>
    </row>
  </sheetData>
  <hyperlinks>
    <hyperlink ref="D1" location="'Index'!A91" display="← Index"/>
  </hyperlink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F5"/>
  <sheetViews>
    <sheetView workbookViewId="0">
      <selection activeCell="B2" sqref="B2:B5"/>
    </sheetView>
  </sheetViews>
  <sheetFormatPr defaultRowHeight="15"/>
  <cols>
    <col min="1" max="1" width="5.00" customWidth="1"/>
    <col min="2" max="2" width="34.00" customWidth="1"/>
    <col min="3" max="3" width="7.00" customWidth="1"/>
    <col min="4" max="4" width="10.00" customWidth="1"/>
    <col min="6" max="6" width="12.00" customWidth="1"/>
  </cols>
  <sheetData>
    <row r="1" ht="19.50" customHeight="1">
      <c r="A1" s="3" t="inlineStr">
        <is>
          <t>No.</t>
        </is>
      </c>
      <c r="B1" s="3" t="inlineStr">
        <is>
          <t>Work item</t>
        </is>
      </c>
      <c r="C1" s="3" t="inlineStr">
        <is>
          <t>Unit</t>
        </is>
      </c>
      <c r="D1" s="3" t="inlineStr">
        <is>
          <t>Quantity</t>
        </is>
      </c>
      <c r="F1" s="106" t="inlineStr">
        <is>
          <t>← Index</t>
        </is>
      </c>
    </row>
    <row r="2" ht="30.00" customHeight="1">
      <c r="A2" s="6">
        <v>1</v>
      </c>
      <c r="B2" s="47" t="inlineStr">
        <is>
          <t xml:space="preserve">Bê tông lót móng M150
Lean concrete M150</t>
        </is>
      </c>
      <c r="C2" s="6" t="inlineStr">
        <is>
          <t>m3</t>
        </is>
      </c>
      <c r="D2" s="32">
        <v>12.5</v>
      </c>
    </row>
    <row r="3" ht="30.00" customHeight="1">
      <c r="A3" s="6">
        <v>2</v>
      </c>
      <c r="B3" s="47" t="inlineStr">
        <is>
          <t xml:space="preserve">Bê tông móng M300
Footing concrete M300</t>
        </is>
      </c>
      <c r="C3" s="6" t="inlineStr">
        <is>
          <t>m3</t>
        </is>
      </c>
      <c r="D3" s="32">
        <v>86.4</v>
      </c>
    </row>
    <row r="4" ht="30.00" customHeight="1">
      <c r="A4" s="6">
        <v>3</v>
      </c>
      <c r="B4" s="47" t="inlineStr">
        <is>
          <t xml:space="preserve">Bê tông cột M300
Column concrete M300</t>
        </is>
      </c>
      <c r="C4" s="6" t="inlineStr">
        <is>
          <t>m3</t>
        </is>
      </c>
      <c r="D4" s="32">
        <v>24.6</v>
      </c>
    </row>
    <row r="5" ht="30.00" customHeight="1">
      <c r="A5" s="6">
        <v>4</v>
      </c>
      <c r="B5" s="47" t="inlineStr">
        <is>
          <t xml:space="preserve">Ván khuôn cột
Column formwork</t>
        </is>
      </c>
      <c r="C5" s="6" t="inlineStr">
        <is>
          <t>m2</t>
        </is>
      </c>
      <c r="D5" s="32">
        <v>182</v>
      </c>
    </row>
  </sheetData>
  <hyperlinks>
    <hyperlink ref="F1" location="'Index'!A92" display="← Index"/>
  </hyperlink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E4"/>
  <sheetViews>
    <sheetView workbookViewId="0">
      <selection activeCell="B2" sqref="B2:B4"/>
    </sheetView>
  </sheetViews>
  <sheetFormatPr defaultRowHeight="15"/>
  <cols>
    <col min="1" max="1" width="5.00" customWidth="1"/>
    <col min="2" max="2" width="42.00" customWidth="1"/>
    <col min="3" max="3" width="7.00" customWidth="1"/>
    <col min="5" max="5" width="12.00" customWidth="1"/>
  </cols>
  <sheetData>
    <row r="1">
      <c r="A1" s="3" t="inlineStr">
        <is>
          <t>No.</t>
        </is>
      </c>
      <c r="B1" s="3" t="inlineStr">
        <is>
          <t>Work item</t>
        </is>
      </c>
      <c r="C1" s="3" t="inlineStr">
        <is>
          <t>Unit</t>
        </is>
      </c>
      <c r="E1" s="106" t="inlineStr">
        <is>
          <t>← Index</t>
        </is>
      </c>
    </row>
    <row r="2">
      <c r="A2" s="6">
        <v>1</v>
      </c>
      <c r="B2" s="4" t="inlineStr">
        <is>
          <t>Lean concrete for footing - AF.11110</t>
        </is>
      </c>
      <c r="C2" s="6" t="inlineStr">
        <is>
          <t>m3</t>
        </is>
      </c>
    </row>
    <row r="3">
      <c r="A3" s="6">
        <v>2</v>
      </c>
      <c r="B3" s="4" t="inlineStr">
        <is>
          <t>Footing rebar D≤10 - AF.61110</t>
        </is>
      </c>
      <c r="C3" s="6" t="inlineStr">
        <is>
          <t>t</t>
        </is>
      </c>
    </row>
    <row r="4">
      <c r="A4" s="6">
        <v>3</v>
      </c>
      <c r="B4" s="4" t="inlineStr">
        <is>
          <t>Footing formwork - AF.81110</t>
        </is>
      </c>
      <c r="C4" s="6" t="inlineStr">
        <is>
          <t>m2</t>
        </is>
      </c>
    </row>
  </sheetData>
  <hyperlinks>
    <hyperlink ref="E1" location="'Index'!A93" display="← Index"/>
  </hyperlink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F4"/>
  <sheetViews>
    <sheetView workbookViewId="0">
      <selection activeCell="A1" sqref="A1:D1"/>
    </sheetView>
  </sheetViews>
  <sheetFormatPr defaultRowHeight="15"/>
  <cols>
    <col min="1" max="1" width="9.00" customWidth="1"/>
    <col min="2" max="2" width="24.00" customWidth="1"/>
    <col min="3" max="3" width="15.00" customWidth="1"/>
    <col min="4" max="4" width="12.00" customWidth="1"/>
    <col min="6" max="6" width="12.00" customWidth="1"/>
  </cols>
  <sheetData>
    <row r="1">
      <c r="A1" s="3" t="inlineStr">
        <is>
          <t>TT / No.</t>
        </is>
      </c>
      <c r="B1" s="3" t="inlineStr">
        <is>
          <t>Công việc nghiệm thu / Inspected work</t>
        </is>
      </c>
      <c r="C1" s="3" t="inlineStr">
        <is>
          <t>Tiêu chuẩn / Standard</t>
        </is>
      </c>
      <c r="D1" s="3" t="inlineStr">
        <is>
          <t>Kết quả / Result</t>
        </is>
      </c>
      <c r="F1" s="106" t="inlineStr">
        <is>
          <t>← Index</t>
        </is>
      </c>
    </row>
    <row r="2">
      <c r="A2" s="6">
        <v>1</v>
      </c>
      <c r="B2" s="4" t="inlineStr">
        <is>
          <t>Level-3 beam &amp; slab rebar</t>
        </is>
      </c>
      <c r="C2" s="4" t="inlineStr">
        <is>
          <t>TCVN 4453:1995</t>
        </is>
      </c>
      <c r="D2" s="6" t="inlineStr">
        <is>
          <t>Pass</t>
        </is>
      </c>
    </row>
    <row r="3">
      <c r="A3" s="6">
        <v>2</v>
      </c>
      <c r="B3" s="4" t="inlineStr">
        <is>
          <t>Level-3 beam &amp; slab formwork</t>
        </is>
      </c>
      <c r="C3" s="4" t="inlineStr">
        <is>
          <t>TCVN 4453:1995</t>
        </is>
      </c>
      <c r="D3" s="6" t="inlineStr">
        <is>
          <t>Pass</t>
        </is>
      </c>
    </row>
    <row r="4">
      <c r="A4" s="6">
        <v>3</v>
      </c>
      <c r="B4" s="4" t="inlineStr">
        <is>
          <t>Level-3 column concrete</t>
        </is>
      </c>
      <c r="C4" s="4" t="inlineStr">
        <is>
          <t>TCVN 4453:1995</t>
        </is>
      </c>
      <c r="D4" s="6" t="inlineStr">
        <is>
          <t>Pass</t>
        </is>
      </c>
    </row>
  </sheetData>
  <hyperlinks>
    <hyperlink ref="F1" location="'Index'!A94" display="← Index"/>
  </hyperlink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E4"/>
  <sheetViews>
    <sheetView workbookViewId="0">
      <selection activeCell="B2" sqref="B2:B4"/>
    </sheetView>
  </sheetViews>
  <sheetFormatPr defaultRowHeight="15"/>
  <cols>
    <col min="1" max="1" width="5.00" customWidth="1"/>
    <col min="2" max="2" width="34.00" customWidth="1"/>
    <col min="3" max="3" width="11.00" customWidth="1"/>
    <col min="5" max="5" width="12.00" customWidth="1"/>
  </cols>
  <sheetData>
    <row r="1">
      <c r="A1" s="3" t="inlineStr">
        <is>
          <t>No.</t>
        </is>
      </c>
      <c r="B1" s="3" t="inlineStr">
        <is>
          <t>Work item</t>
        </is>
      </c>
      <c r="C1" s="3" t="inlineStr">
        <is>
          <t>Length</t>
        </is>
      </c>
      <c r="E1" s="106" t="inlineStr">
        <is>
          <t>← Index</t>
        </is>
      </c>
    </row>
    <row r="2">
      <c r="A2" s="6">
        <v>1</v>
      </c>
      <c r="B2" s="4" t="inlineStr">
        <is>
          <t xml:space="preserve">  Footing   concrete M250 </t>
        </is>
      </c>
      <c r="C2" s="4" t="inlineStr">
        <is>
          <t>26</t>
        </is>
      </c>
    </row>
    <row r="3">
      <c r="A3" s="6">
        <v>2</v>
      </c>
      <c r="B3" s="4" t="inlineStr">
        <is>
          <t xml:space="preserve">Footing rebar  D≤10  </t>
        </is>
      </c>
      <c r="C3" s="4" t="inlineStr">
        <is>
          <t>21</t>
        </is>
      </c>
    </row>
    <row r="4">
      <c r="A4" s="6">
        <v>3</v>
      </c>
      <c r="B4" s="4" t="inlineStr">
        <is>
          <t xml:space="preserve"> Column formwork   </t>
        </is>
      </c>
      <c r="C4" s="4" t="inlineStr">
        <is>
          <t>19</t>
        </is>
      </c>
    </row>
  </sheetData>
  <hyperlinks>
    <hyperlink ref="E1" location="'Index'!A95" display="← Index"/>
  </hyperlink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F4"/>
  <sheetViews>
    <sheetView workbookViewId="0">
      <selection activeCell="B2" sqref="B2:B4"/>
    </sheetView>
  </sheetViews>
  <sheetFormatPr defaultRowHeight="15"/>
  <cols>
    <col min="1" max="1" width="5.00" customWidth="1"/>
    <col min="2" max="2" width="34.00" customWidth="1"/>
    <col min="3" max="3" width="7.00" customWidth="1"/>
    <col min="4" max="4" width="10.00" customWidth="1"/>
    <col min="6" max="6" width="12.00" customWidth="1"/>
  </cols>
  <sheetData>
    <row r="1">
      <c r="A1" s="3" t="inlineStr">
        <is>
          <t>No.</t>
        </is>
      </c>
      <c r="B1" s="3" t="inlineStr">
        <is>
          <t>Work item</t>
        </is>
      </c>
      <c r="C1" s="3" t="inlineStr">
        <is>
          <t>Unit</t>
        </is>
      </c>
      <c r="D1" s="3" t="inlineStr">
        <is>
          <t>Quantity</t>
        </is>
      </c>
      <c r="F1" s="106" t="inlineStr">
        <is>
          <t>← Index</t>
        </is>
      </c>
    </row>
    <row r="2">
      <c r="A2" s="6">
        <v>1</v>
      </c>
      <c r="B2" s="4" t="inlineStr">
        <is>
          <t>Lean concrete with 4x6 stone</t>
        </is>
      </c>
      <c r="C2" s="6" t="inlineStr">
        <is>
          <t>m3</t>
        </is>
      </c>
      <c r="D2" s="32">
        <v>3.2</v>
      </c>
    </row>
    <row r="3">
      <c r="A3" s="6">
        <v>2</v>
      </c>
      <c r="B3" s="4" t="inlineStr">
        <is>
          <t>Footing rebar D≤10</t>
        </is>
      </c>
      <c r="C3" s="6" t="inlineStr">
        <is>
          <t>t</t>
        </is>
      </c>
      <c r="D3" s="11">
        <v>0.85</v>
      </c>
    </row>
    <row r="4">
      <c r="A4" s="6">
        <v>3</v>
      </c>
      <c r="B4" s="4" t="inlineStr">
        <is>
          <t>Footing formwork</t>
        </is>
      </c>
      <c r="C4" s="6" t="inlineStr">
        <is>
          <t>m2</t>
        </is>
      </c>
      <c r="D4" s="32">
        <v>14.4</v>
      </c>
    </row>
  </sheetData>
  <hyperlinks>
    <hyperlink ref="F1" location="'Index'!A96" display="← Index"/>
  </hyperlink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E4"/>
  <sheetViews>
    <sheetView workbookViewId="0">
      <selection activeCell="B2" sqref="B2:B4"/>
    </sheetView>
  </sheetViews>
  <sheetFormatPr defaultRowHeight="15"/>
  <cols>
    <col min="1" max="1" width="5.00" customWidth="1"/>
    <col min="2" max="2" width="36.00" customWidth="1"/>
    <col min="3" max="3" width="12.00" customWidth="1"/>
    <col min="5" max="5" width="12.00" customWidth="1"/>
  </cols>
  <sheetData>
    <row r="1">
      <c r="A1" s="3" t="inlineStr">
        <is>
          <t>No.</t>
        </is>
      </c>
      <c r="B1" s="3" t="inlineStr">
        <is>
          <t>Item</t>
        </is>
      </c>
      <c r="C1" s="3" t="inlineStr">
        <is>
          <t>Accepted</t>
        </is>
      </c>
      <c r="E1" s="106" t="inlineStr">
        <is>
          <t>← Index</t>
        </is>
      </c>
    </row>
    <row r="2">
      <c r="A2" s="6">
        <v>1</v>
      </c>
      <c r="B2" s="4" t="inlineStr">
        <is>
          <t>Móng đơn trục A-1</t>
        </is>
      </c>
      <c r="C2" s="12">
        <v>46093</v>
      </c>
    </row>
    <row r="3">
      <c r="A3" s="6">
        <v>2</v>
      </c>
      <c r="B3" s="4" t="inlineStr">
        <is>
          <t>Bê tông cốt thép dầm sàn tầng 2</t>
        </is>
      </c>
      <c r="C3" s="12">
        <v>46107</v>
      </c>
    </row>
    <row r="4">
      <c r="A4" s="6">
        <v>3</v>
      </c>
      <c r="B4" s="4" t="inlineStr">
        <is>
          <t>Đường ống cấp nước D110</t>
        </is>
      </c>
      <c r="C4" s="12">
        <v>46121</v>
      </c>
    </row>
  </sheetData>
  <hyperlinks>
    <hyperlink ref="E1" location="'Index'!A97" display="← Index"/>
  </hyperlink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D5"/>
  <sheetViews>
    <sheetView workbookViewId="0">
      <selection activeCell="B2" sqref="B2:B5"/>
    </sheetView>
  </sheetViews>
  <sheetFormatPr defaultRowHeight="15"/>
  <cols>
    <col min="1" max="1" width="12.00" customWidth="1"/>
    <col min="2" max="2" width="44.00" customWidth="1"/>
    <col min="4" max="4" width="12.00" customWidth="1"/>
  </cols>
  <sheetData>
    <row r="1">
      <c r="A1" s="3" t="inlineStr">
        <is>
          <t>Date</t>
        </is>
      </c>
      <c r="B1" s="3" t="inlineStr">
        <is>
          <t>Work done</t>
        </is>
      </c>
      <c r="D1" s="106" t="inlineStr">
        <is>
          <t>← Index</t>
        </is>
      </c>
    </row>
    <row r="2">
      <c r="A2" s="12">
        <v>46301</v>
      </c>
      <c r="B2" s="4" t="inlineStr">
        <is>
          <t>tap ket vat tu gach xay tuong</t>
        </is>
      </c>
    </row>
    <row r="3">
      <c r="A3" s="12">
        <v>46301</v>
      </c>
      <c r="B3" s="4" t="inlineStr">
        <is>
          <t>Vệ sinh mặt bằng cuối ngày</t>
        </is>
      </c>
    </row>
    <row r="4">
      <c r="A4" s="12">
        <v>46302</v>
      </c>
      <c r="B4" s="4" t="inlineStr">
        <is>
          <t>nghiem thu cot thep dam san tang 3</t>
        </is>
      </c>
    </row>
    <row r="5">
      <c r="A5" s="12">
        <v>46303</v>
      </c>
      <c r="B5" s="4" t="inlineStr">
        <is>
          <t>do be tong dam san tang 3</t>
        </is>
      </c>
    </row>
  </sheetData>
  <hyperlinks>
    <hyperlink ref="D1" location="'Index'!A98" display="← Index"/>
  </hyperlink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G6"/>
  <sheetViews>
    <sheetView workbookViewId="0">
      <selection activeCell="D2" sqref="D2:E5"/>
    </sheetView>
  </sheetViews>
  <sheetFormatPr defaultRowHeight="15"/>
  <cols>
    <col min="1" max="1" width="5.00" customWidth="1"/>
    <col min="2" max="2" width="24.00" customWidth="1"/>
    <col min="3" max="3" width="6.00" customWidth="1"/>
    <col min="4" max="4" width="11.00" customWidth="1"/>
    <col min="5" max="5" width="12.00" customWidth="1"/>
    <col min="7" max="7" width="12.00" customWidth="1"/>
  </cols>
  <sheetData>
    <row r="1">
      <c r="A1" s="3" t="inlineStr">
        <is>
          <t>No.</t>
        </is>
      </c>
      <c r="B1" s="3" t="inlineStr">
        <is>
          <t>Work item</t>
        </is>
      </c>
      <c r="C1" s="3" t="inlineStr">
        <is>
          <t>Unit</t>
        </is>
      </c>
      <c r="D1" s="3" t="inlineStr">
        <is>
          <t>Quantity</t>
        </is>
      </c>
      <c r="E1" s="3" t="inlineStr">
        <is>
          <t>Accepted</t>
        </is>
      </c>
      <c r="G1" s="106" t="inlineStr">
        <is>
          <t>← Index</t>
        </is>
      </c>
    </row>
    <row r="2">
      <c r="A2" s="6">
        <v>1</v>
      </c>
      <c r="B2" s="4" t="inlineStr">
        <is>
          <t>Footing concrete M250</t>
        </is>
      </c>
      <c r="C2" s="6" t="inlineStr">
        <is>
          <t>m3</t>
        </is>
      </c>
      <c r="D2" s="27" t="inlineStr">
        <is>
          <t>125.5</t>
        </is>
      </c>
      <c r="E2" s="27" t="inlineStr">
        <is>
          <t>15/03/2026</t>
        </is>
      </c>
    </row>
    <row r="3">
      <c r="A3" s="6">
        <v>2</v>
      </c>
      <c r="B3" s="4" t="inlineStr">
        <is>
          <t>Footing rebar</t>
        </is>
      </c>
      <c r="C3" s="6" t="inlineStr">
        <is>
          <t>kg</t>
        </is>
      </c>
      <c r="D3" s="27" t="inlineStr">
        <is>
          <t>1,200</t>
        </is>
      </c>
      <c r="E3" s="27" t="inlineStr">
        <is>
          <t>18/03/2026</t>
        </is>
      </c>
    </row>
    <row r="4">
      <c r="A4" s="6">
        <v>3</v>
      </c>
      <c r="B4" s="4" t="inlineStr">
        <is>
          <t>Footing formwork</t>
        </is>
      </c>
      <c r="C4" s="6" t="inlineStr">
        <is>
          <t>m2</t>
        </is>
      </c>
      <c r="D4" s="27" t="inlineStr">
        <is>
          <t>86.25</t>
        </is>
      </c>
      <c r="E4" s="27" t="inlineStr">
        <is>
          <t>2026-03-20</t>
        </is>
      </c>
    </row>
    <row r="5">
      <c r="A5" s="6">
        <v>4</v>
      </c>
      <c r="B5" s="4" t="inlineStr">
        <is>
          <t>Footing excavation</t>
        </is>
      </c>
      <c r="C5" s="6" t="inlineStr">
        <is>
          <t>m3</t>
        </is>
      </c>
      <c r="D5" s="27" t="inlineStr">
        <is>
          <t>42</t>
        </is>
      </c>
      <c r="E5" s="27" t="inlineStr">
        <is>
          <t>22/03/2026</t>
        </is>
      </c>
    </row>
    <row r="6">
      <c r="A6" s="4"/>
      <c r="B6" s="25" t="inlineStr">
        <is>
          <t>Total</t>
        </is>
      </c>
      <c r="C6" s="4"/>
      <c r="D6" s="25">
        <f>SUM(D2:D5)</f>
        <v>0.0</v>
      </c>
      <c r="E6" s="4"/>
    </row>
  </sheetData>
  <hyperlinks>
    <hyperlink ref="G1" location="'Index'!A99" display="← Index"/>
  </hyperlink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F6"/>
  <sheetViews>
    <sheetView workbookViewId="0">
      <selection activeCell="C2" sqref="C2:C6"/>
    </sheetView>
  </sheetViews>
  <sheetFormatPr defaultRowHeight="15"/>
  <cols>
    <col min="1" max="1" width="5.00" customWidth="1"/>
    <col min="2" max="2" width="30.00" customWidth="1"/>
    <col min="3" max="3" width="7.00" customWidth="1"/>
    <col min="4" max="4" width="13.00" customWidth="1"/>
    <col min="6" max="6" width="12.00" customWidth="1"/>
  </cols>
  <sheetData>
    <row r="1">
      <c r="A1" s="3" t="inlineStr">
        <is>
          <t>No.</t>
        </is>
      </c>
      <c r="B1" s="3" t="inlineStr">
        <is>
          <t>Work item</t>
        </is>
      </c>
      <c r="C1" s="3" t="inlineStr">
        <is>
          <t>Unit</t>
        </is>
      </c>
      <c r="D1" s="3" t="inlineStr">
        <is>
          <t>Quantity</t>
        </is>
      </c>
      <c r="F1" s="106" t="inlineStr">
        <is>
          <t>← Index</t>
        </is>
      </c>
    </row>
    <row r="2">
      <c r="A2" s="6">
        <v>1</v>
      </c>
      <c r="B2" s="4" t="inlineStr">
        <is>
          <t>Footing concrete M250</t>
        </is>
      </c>
      <c r="C2" s="6" t="inlineStr">
        <is>
          <t>m3</t>
        </is>
      </c>
      <c r="D2" s="32">
        <v>42.5</v>
      </c>
    </row>
    <row r="3">
      <c r="A3" s="6">
        <v>2</v>
      </c>
      <c r="B3" s="4" t="inlineStr">
        <is>
          <t>Footing formwork</t>
        </is>
      </c>
      <c r="C3" s="6" t="inlineStr">
        <is>
          <t>m2</t>
        </is>
      </c>
      <c r="D3" s="32">
        <v>86.4</v>
      </c>
    </row>
    <row r="4">
      <c r="A4" s="6">
        <v>3</v>
      </c>
      <c r="B4" s="4" t="inlineStr">
        <is>
          <t>Footing rebar D≤10</t>
        </is>
      </c>
      <c r="C4" s="6" t="inlineStr">
        <is>
          <t>t</t>
        </is>
      </c>
      <c r="D4" s="11">
        <v>1.25</v>
      </c>
    </row>
    <row r="5">
      <c r="A5" s="6">
        <v>4</v>
      </c>
      <c r="B5" s="4" t="inlineStr">
        <is>
          <t>Wall plaster 15 mm thick</t>
        </is>
      </c>
      <c r="C5" s="6" t="inlineStr">
        <is>
          <t>m2</t>
        </is>
      </c>
      <c r="D5" s="4">
        <v>320</v>
      </c>
    </row>
    <row r="6">
      <c r="A6" s="6">
        <v>5</v>
      </c>
      <c r="B6" s="4" t="inlineStr">
        <is>
          <t>Footing excavation</t>
        </is>
      </c>
      <c r="C6" s="6" t="inlineStr">
        <is>
          <t>m3</t>
        </is>
      </c>
      <c r="D6" s="4">
        <v>156</v>
      </c>
    </row>
  </sheetData>
  <hyperlinks>
    <hyperlink ref="F1" location="'Index'!A100" display="← Index"/>
  </hyperlink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D6"/>
  <sheetViews>
    <sheetView workbookViewId="0">
      <selection activeCell="B2" sqref="B2:B6"/>
    </sheetView>
  </sheetViews>
  <sheetFormatPr defaultRowHeight="15"/>
  <cols>
    <col min="1" max="1" width="5.00" customWidth="1"/>
    <col min="2" max="2" width="42.00" customWidth="1"/>
    <col min="4" max="4" width="12.00" customWidth="1"/>
  </cols>
  <sheetData>
    <row r="1">
      <c r="A1" s="3" t="inlineStr">
        <is>
          <t>No.</t>
        </is>
      </c>
      <c r="B1" s="3" t="inlineStr">
        <is>
          <t>Component / test item</t>
        </is>
      </c>
      <c r="D1" s="106" t="inlineStr">
        <is>
          <t>← Index</t>
        </is>
      </c>
    </row>
    <row r="2">
      <c r="A2" s="6">
        <v>1</v>
      </c>
      <c r="B2" s="4" t="inlineStr">
        <is>
          <t>Water H2O</t>
        </is>
      </c>
    </row>
    <row r="3">
      <c r="A3" s="6">
        <v>2</v>
      </c>
      <c r="B3" s="4" t="inlineStr">
        <is>
          <t>Slaked lime Ca(OH)2</t>
        </is>
      </c>
    </row>
    <row r="4">
      <c r="A4" s="6">
        <v>3</v>
      </c>
      <c r="B4" s="4" t="inlineStr">
        <is>
          <t>Carbon dioxide CO2 (carbonation)</t>
        </is>
      </c>
    </row>
    <row r="5">
      <c r="A5" s="6">
        <v>4</v>
      </c>
      <c r="B5" s="4" t="inlineStr">
        <is>
          <t>Fe3+ ion in mixing water</t>
        </is>
      </c>
    </row>
    <row r="6">
      <c r="A6" s="6">
        <v>5</v>
      </c>
      <c r="B6" s="4" t="inlineStr">
        <is>
          <t>Concrete B25, mortar M300</t>
        </is>
      </c>
    </row>
  </sheetData>
  <hyperlinks>
    <hyperlink ref="D1" location="'Index'!A101" display="← Index"/>
  </hyperlink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F9"/>
  <sheetViews>
    <sheetView workbookViewId="0">
      <selection activeCell="B5" sqref="B5"/>
    </sheetView>
  </sheetViews>
  <sheetFormatPr defaultRowHeight="15"/>
  <cols>
    <col min="1" max="1" width="5.00" customWidth="1"/>
    <col min="2" max="2" width="46.00" customWidth="1"/>
    <col min="3" max="3" width="7.00" customWidth="1"/>
    <col min="4" max="4" width="11.00" customWidth="1"/>
    <col min="6" max="6" width="12.00" customWidth="1"/>
  </cols>
  <sheetData>
    <row r="1">
      <c r="A1" s="1" t="inlineStr">
        <is>
          <t>DETAILED COST ESTIMATE — SUPERSTRUCTURE</t>
        </is>
      </c>
      <c r="F1" s="106" t="inlineStr">
        <is>
          <t>← Index</t>
        </is>
      </c>
    </row>
    <row r="3">
      <c r="A3" s="3" t="inlineStr">
        <is>
          <t>No.</t>
        </is>
      </c>
      <c r="B3" s="3" t="inlineStr">
        <is>
          <t>Description of work</t>
        </is>
      </c>
      <c r="C3" s="3" t="inlineStr">
        <is>
          <t>Unit</t>
        </is>
      </c>
      <c r="D3" s="3" t="inlineStr">
        <is>
          <t>Quantity</t>
        </is>
      </c>
    </row>
    <row r="4">
      <c r="A4" s="6">
        <v>1</v>
      </c>
      <c r="B4" s="4" t="inlineStr">
        <is>
          <t>Lean concrete under footings, M100</t>
        </is>
      </c>
      <c r="C4" s="6" t="inlineStr">
        <is>
          <t>m³</t>
        </is>
      </c>
      <c r="D4" s="32">
        <v>12.6</v>
      </c>
    </row>
    <row r="5">
      <c r="A5" s="6">
        <v>2</v>
      </c>
      <c r="B5" s="4" t="inlineStr">
        <is>
          <t>RC footings, 1x2 aggregate, M250</t>
        </is>
      </c>
      <c r="C5" s="6" t="inlineStr">
        <is>
          <t>m³</t>
        </is>
      </c>
      <c r="D5" s="32">
        <v>48.3</v>
      </c>
    </row>
    <row r="6">
      <c r="A6" s="6">
        <v>3</v>
      </c>
      <c r="B6" s="4" t="inlineStr">
        <is>
          <t>RC columns, level 1, M300</t>
        </is>
      </c>
      <c r="C6" s="6" t="inlineStr">
        <is>
          <t>m³</t>
        </is>
      </c>
      <c r="D6" s="32">
        <v>18.7</v>
      </c>
    </row>
    <row r="7">
      <c r="A7" s="6">
        <v>4</v>
      </c>
      <c r="B7" s="4" t="inlineStr">
        <is>
          <t>RC beams and slab, level 2, M300</t>
        </is>
      </c>
      <c r="C7" s="6" t="inlineStr">
        <is>
          <t>m³</t>
        </is>
      </c>
      <c r="D7" s="32">
        <v>96.4</v>
      </c>
    </row>
    <row r="8">
      <c r="A8" s="6">
        <v>5</v>
      </c>
      <c r="B8" s="4" t="inlineStr">
        <is>
          <t>Formwork to columns, level 1</t>
        </is>
      </c>
      <c r="C8" s="6" t="inlineStr">
        <is>
          <t>m²</t>
        </is>
      </c>
      <c r="D8" s="32">
        <v>210.5</v>
      </c>
    </row>
    <row r="9">
      <c r="A9" s="6">
        <v>6</v>
      </c>
      <c r="B9" s="4" t="inlineStr">
        <is>
          <t>Rebar to columns, level 1, D≤18</t>
        </is>
      </c>
      <c r="C9" s="6" t="inlineStr">
        <is>
          <t>t</t>
        </is>
      </c>
      <c r="D9" s="11">
        <v>3.85</v>
      </c>
    </row>
  </sheetData>
  <hyperlinks>
    <hyperlink ref="F1" location="'Index'!A102" display="← Index"/>
  </hyperlink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F8"/>
  <sheetViews>
    <sheetView workbookViewId="0">
      <selection activeCell="A1" sqref="A1:D8"/>
    </sheetView>
  </sheetViews>
  <sheetFormatPr defaultRowHeight="15"/>
  <cols>
    <col min="1" max="1" width="8.00" customWidth="1"/>
    <col min="2" max="2" width="32.00" customWidth="1"/>
    <col min="3" max="3" width="7.00" customWidth="1"/>
    <col min="4" max="4" width="11.00" customWidth="1"/>
    <col min="6" max="6" width="12.00" customWidth="1"/>
  </cols>
  <sheetData>
    <row r="1">
      <c r="A1" s="3" t="inlineStr">
        <is>
          <t>Code</t>
        </is>
      </c>
      <c r="B1" s="3" t="inlineStr">
        <is>
          <t>Material</t>
        </is>
      </c>
      <c r="C1" s="3" t="inlineStr">
        <is>
          <t>Unit</t>
        </is>
      </c>
      <c r="D1" s="3" t="inlineStr">
        <is>
          <t>Qty</t>
        </is>
      </c>
      <c r="F1" s="106" t="inlineStr">
        <is>
          <t>← Index</t>
        </is>
      </c>
    </row>
    <row r="2">
      <c r="A2" s="4" t="inlineStr">
        <is>
          <t>VT01</t>
        </is>
      </c>
      <c r="B2" s="4" t="inlineStr">
        <is>
          <t xml:space="preserve">   portland cement PCB40</t>
        </is>
      </c>
      <c r="C2" s="6" t="inlineStr">
        <is>
          <t>kg</t>
        </is>
      </c>
      <c r="D2" s="33">
        <v>18000</v>
      </c>
    </row>
    <row r="3">
      <c r="A3" s="4" t="inlineStr">
        <is>
          <t>VT02</t>
        </is>
      </c>
      <c r="B3" s="4" t="inlineStr">
        <is>
          <t>REBAR CB400-V    D16</t>
        </is>
      </c>
      <c r="C3" s="6" t="inlineStr">
        <is>
          <t>kg</t>
        </is>
      </c>
      <c r="D3" s="33">
        <v>4520</v>
      </c>
    </row>
    <row r="4">
      <c r="A4" s="4" t="inlineStr">
        <is>
          <t>VT03</t>
        </is>
      </c>
      <c r="B4" s="4" t="inlineStr">
        <is>
          <t>plastering    sand</t>
        </is>
      </c>
      <c r="C4" s="6" t="inlineStr">
        <is>
          <t>m3</t>
        </is>
      </c>
      <c r="D4" s="4">
        <v>42</v>
      </c>
    </row>
    <row r="5">
      <c r="A5" s="4" t="inlineStr">
        <is>
          <t>VT01</t>
        </is>
      </c>
      <c r="B5" s="4" t="inlineStr">
        <is>
          <t>Portland cement PCB40</t>
        </is>
      </c>
      <c r="C5" s="6" t="inlineStr">
        <is>
          <t>kg</t>
        </is>
      </c>
      <c r="D5" s="33">
        <v>18000</v>
      </c>
    </row>
    <row r="6">
      <c r="A6" s="4" t="inlineStr">
        <is>
          <t>VT04</t>
        </is>
      </c>
      <c r="B6" s="4" t="inlineStr">
        <is>
          <t>porcelain floor tile 600x600</t>
        </is>
      </c>
      <c r="C6" s="6" t="inlineStr">
        <is>
          <t>m2</t>
        </is>
      </c>
      <c r="D6" s="4">
        <v>350</v>
      </c>
    </row>
    <row r="7">
      <c r="A7" s="4" t="inlineStr">
        <is>
          <t>VT03</t>
        </is>
      </c>
      <c r="B7" s="4" t="inlineStr">
        <is>
          <t>Plastering sand</t>
        </is>
      </c>
      <c r="C7" s="6" t="inlineStr">
        <is>
          <t>m3</t>
        </is>
      </c>
      <c r="D7" s="4">
        <v>42</v>
      </c>
    </row>
    <row r="8">
      <c r="A8" s="4" t="inlineStr">
        <is>
          <t>VT05</t>
        </is>
      </c>
      <c r="B8" s="4" t="inlineStr">
        <is>
          <t>Crushed stone 1x2</t>
        </is>
      </c>
      <c r="C8" s="6" t="inlineStr">
        <is>
          <t>m3</t>
        </is>
      </c>
      <c r="D8" s="4">
        <v>65</v>
      </c>
    </row>
  </sheetData>
  <hyperlinks>
    <hyperlink ref="F1" location="'Index'!A103" display="← Index"/>
  </hyperlink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F7"/>
  <sheetViews>
    <sheetView workbookViewId="0">
      <selection activeCell="A1" sqref="A1:D7"/>
    </sheetView>
  </sheetViews>
  <sheetFormatPr defaultRowHeight="15"/>
  <cols>
    <col min="1" max="1" width="5.00" customWidth="1"/>
    <col min="2" max="2" width="34.00" customWidth="1"/>
    <col min="3" max="3" width="7.00" customWidth="1"/>
    <col min="4" max="4" width="12.00" customWidth="1"/>
    <col min="6" max="6" width="12.00" customWidth="1"/>
  </cols>
  <sheetData>
    <row r="1">
      <c r="A1" s="1" t="inlineStr">
        <is>
          <t>BAÛNG KHOÁI LÖÔÏNG PHAÀN MOÙNG</t>
        </is>
      </c>
      <c r="F1" s="106" t="inlineStr">
        <is>
          <t>← Index</t>
        </is>
      </c>
    </row>
    <row r="3">
      <c r="A3" s="3" t="inlineStr">
        <is>
          <t>TT</t>
        </is>
      </c>
      <c r="B3" s="3" t="inlineStr">
        <is>
          <t>Noäi dung coâng vieäc</t>
        </is>
      </c>
      <c r="C3" s="3" t="inlineStr">
        <is>
          <t>ÑVT</t>
        </is>
      </c>
      <c r="D3" s="3" t="inlineStr">
        <is>
          <t>Khoái löôïng</t>
        </is>
      </c>
    </row>
    <row r="4">
      <c r="A4" s="6">
        <v>1</v>
      </c>
      <c r="B4" s="4" t="inlineStr">
        <is>
          <t>Coâng taùc beâ toâng loùt M100</t>
        </is>
      </c>
      <c r="C4" s="6" t="inlineStr">
        <is>
          <t>m3</t>
        </is>
      </c>
      <c r="D4" s="32">
        <v>12.6</v>
      </c>
    </row>
    <row r="5">
      <c r="A5" s="6">
        <v>2</v>
      </c>
      <c r="B5" s="4" t="inlineStr">
        <is>
          <t>Coát theùp moùng D&lt;=18</t>
        </is>
      </c>
      <c r="C5" s="6" t="inlineStr">
        <is>
          <t>taán</t>
        </is>
      </c>
      <c r="D5" s="11">
        <v>4.85</v>
      </c>
    </row>
    <row r="6">
      <c r="A6" s="6">
        <v>3</v>
      </c>
      <c r="B6" s="4" t="inlineStr">
        <is>
          <t>Vaùn khuoân moùng</t>
        </is>
      </c>
      <c r="C6" s="6" t="inlineStr">
        <is>
          <t>m2</t>
        </is>
      </c>
      <c r="D6" s="32">
        <v>86.4</v>
      </c>
    </row>
    <row r="7">
      <c r="A7" s="6">
        <v>4</v>
      </c>
      <c r="B7" s="4" t="inlineStr">
        <is>
          <t>Beâ toâng moùng M250</t>
        </is>
      </c>
      <c r="C7" s="6" t="inlineStr">
        <is>
          <t>m3</t>
        </is>
      </c>
      <c r="D7" s="32">
        <v>48.3</v>
      </c>
    </row>
  </sheetData>
  <hyperlinks>
    <hyperlink ref="F1" location="'Index'!A104" display="← Index"/>
  </hyperlink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F5"/>
  <sheetViews>
    <sheetView workbookViewId="0">
      <selection activeCell="A1" sqref="A1:D5"/>
    </sheetView>
  </sheetViews>
  <sheetFormatPr defaultRowHeight="15"/>
  <cols>
    <col min="1" max="1" width="5.00" customWidth="1"/>
    <col min="2" max="2" width="34.00" customWidth="1"/>
    <col min="3" max="3" width="7.00" customWidth="1"/>
    <col min="4" max="4" width="11.00" customWidth="1"/>
    <col min="6" max="6" width="12.00" customWidth="1"/>
  </cols>
  <sheetData>
    <row r="1">
      <c r="A1" s="3" t="inlineStr">
        <is>
          <t>TT</t>
        </is>
      </c>
      <c r="B1" s="3" t="inlineStr">
        <is>
          <t>Néi dung c«ng viÖc</t>
        </is>
      </c>
      <c r="C1" s="3" t="inlineStr">
        <is>
          <t>§VT</t>
        </is>
      </c>
      <c r="D1" s="3" t="inlineStr">
        <is>
          <t>KL</t>
        </is>
      </c>
      <c r="F1" s="106" t="inlineStr">
        <is>
          <t>← Index</t>
        </is>
      </c>
    </row>
    <row r="2">
      <c r="A2" s="6">
        <v>1</v>
      </c>
      <c r="B2" s="4" t="inlineStr">
        <is>
          <t>C«ng t¸c bª t«ng lãt M100</t>
        </is>
      </c>
      <c r="C2" s="6" t="inlineStr">
        <is>
          <t>m3</t>
        </is>
      </c>
      <c r="D2" s="32">
        <v>12.6</v>
      </c>
    </row>
    <row r="3">
      <c r="A3" s="6">
        <v>2</v>
      </c>
      <c r="B3" s="4" t="inlineStr">
        <is>
          <t>Cèt thÐp dÇm sµn D&lt;=10</t>
        </is>
      </c>
      <c r="C3" s="6" t="inlineStr">
        <is>
          <t>kg</t>
        </is>
      </c>
      <c r="D3" s="33">
        <v>1250</v>
      </c>
    </row>
    <row r="4">
      <c r="A4" s="6">
        <v>3</v>
      </c>
      <c r="B4" s="4" t="inlineStr">
        <is>
          <t>V¸n khu«n cét vu«ng</t>
        </is>
      </c>
      <c r="C4" s="6" t="inlineStr">
        <is>
          <t>m2</t>
        </is>
      </c>
      <c r="D4" s="32">
        <v>86.4</v>
      </c>
    </row>
    <row r="5">
      <c r="A5" s="6">
        <v>4</v>
      </c>
      <c r="B5" s="4" t="inlineStr">
        <is>
          <t>Bª t«ng cét M300</t>
        </is>
      </c>
      <c r="C5" s="6" t="inlineStr">
        <is>
          <t>m3</t>
        </is>
      </c>
      <c r="D5" s="32">
        <v>18.7</v>
      </c>
    </row>
  </sheetData>
  <hyperlinks>
    <hyperlink ref="F1" location="'Index'!A105" display="← Index"/>
  </hyperlink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F5"/>
  <sheetViews>
    <sheetView workbookViewId="0">
      <selection activeCell="B2" sqref="B2:B5"/>
    </sheetView>
  </sheetViews>
  <sheetFormatPr defaultRowHeight="15"/>
  <cols>
    <col min="1" max="1" width="5.00" customWidth="1"/>
    <col min="2" max="2" width="34.00" customWidth="1"/>
    <col min="3" max="3" width="7.00" customWidth="1"/>
    <col min="4" max="4" width="11.00" customWidth="1"/>
    <col min="6" max="6" width="12.00" customWidth="1"/>
  </cols>
  <sheetData>
    <row r="1">
      <c r="A1" s="3" t="inlineStr">
        <is>
          <t>TT</t>
        </is>
      </c>
      <c r="B1" s="3" t="inlineStr">
        <is>
          <t>Nội dung công việc</t>
        </is>
      </c>
      <c r="C1" s="3" t="inlineStr">
        <is>
          <t>ĐVT</t>
        </is>
      </c>
      <c r="D1" s="3" t="inlineStr">
        <is>
          <t>Khối lượng</t>
        </is>
      </c>
      <c r="F1" s="106" t="inlineStr">
        <is>
          <t>← Index</t>
        </is>
      </c>
    </row>
    <row r="2">
      <c r="A2" s="6">
        <v>1</v>
      </c>
      <c r="B2" s="4" t="inlineStr">
        <is>
          <t>Bê tông móng đá 1x2 M250</t>
        </is>
      </c>
      <c r="C2" s="6" t="inlineStr">
        <is>
          <t>m3</t>
        </is>
      </c>
      <c r="D2" s="32">
        <v>48.3</v>
      </c>
    </row>
    <row r="3">
      <c r="A3" s="6">
        <v>2</v>
      </c>
      <c r="B3" s="4" t="inlineStr">
        <is>
          <t>Ván khuôn cột, vách</t>
        </is>
      </c>
      <c r="C3" s="6" t="inlineStr">
        <is>
          <t>m2</t>
        </is>
      </c>
      <c r="D3" s="32">
        <v>210.5</v>
      </c>
    </row>
    <row r="4">
      <c r="A4" s="6">
        <v>3</v>
      </c>
      <c r="B4" s="4" t="inlineStr">
        <is>
          <t>Thép tròn D18 trở lên</t>
        </is>
      </c>
      <c r="C4" s="6" t="inlineStr">
        <is>
          <t>tấn</t>
        </is>
      </c>
      <c r="D4" s="11">
        <v>3.85</v>
      </c>
    </row>
    <row r="5">
      <c r="A5" s="6">
        <v>4</v>
      </c>
      <c r="B5" s="4" t="inlineStr">
        <is>
          <t>Xây tường gạch ống dày 200</t>
        </is>
      </c>
      <c r="C5" s="6" t="inlineStr">
        <is>
          <t>m3</t>
        </is>
      </c>
      <c r="D5" s="32">
        <v>26.4</v>
      </c>
    </row>
  </sheetData>
  <hyperlinks>
    <hyperlink ref="F1" location="'Index'!A106" display="← Index"/>
  </hyperlink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F5"/>
  <sheetViews>
    <sheetView workbookViewId="0">
      <selection activeCell="B2" sqref="B2:B5"/>
    </sheetView>
  </sheetViews>
  <sheetFormatPr defaultRowHeight="15"/>
  <cols>
    <col min="1" max="1" width="5.00" customWidth="1"/>
    <col min="2" max="2" width="34.00" customWidth="1"/>
    <col min="3" max="3" width="7.00" customWidth="1"/>
    <col min="4" max="4" width="11.00" customWidth="1"/>
    <col min="6" max="6" width="12.00" customWidth="1"/>
  </cols>
  <sheetData>
    <row r="1">
      <c r="A1" s="3" t="inlineStr">
        <is>
          <t>TT</t>
        </is>
      </c>
      <c r="B1" s="3" t="inlineStr">
        <is>
          <t>Nội dung công việc</t>
        </is>
      </c>
      <c r="C1" s="3" t="inlineStr">
        <is>
          <t>ĐVT</t>
        </is>
      </c>
      <c r="D1" s="3" t="inlineStr">
        <is>
          <t>Khối lượng</t>
        </is>
      </c>
      <c r="F1" s="106" t="inlineStr">
        <is>
          <t>← Index</t>
        </is>
      </c>
    </row>
    <row r="2">
      <c r="A2" s="6">
        <v>1</v>
      </c>
      <c r="B2" s="4" t="inlineStr">
        <is>
          <t>Đào móng bằng thủ công</t>
        </is>
      </c>
      <c r="C2" s="6" t="inlineStr">
        <is>
          <t>m3</t>
        </is>
      </c>
      <c r="D2" s="32">
        <v>35.2</v>
      </c>
    </row>
    <row r="3">
      <c r="A3" s="6">
        <v>2</v>
      </c>
      <c r="B3" s="4" t="inlineStr">
        <is>
          <t>Lắp dựng cốt thép cột</t>
        </is>
      </c>
      <c r="C3" s="6" t="inlineStr">
        <is>
          <t>tấn</t>
        </is>
      </c>
      <c r="D3" s="11">
        <v>2.15</v>
      </c>
    </row>
    <row r="4">
      <c r="A4" s="6">
        <v>3</v>
      </c>
      <c r="B4" s="4" t="inlineStr">
        <is>
          <t>Ván khuôn dầm, sàn</t>
        </is>
      </c>
      <c r="C4" s="6" t="inlineStr">
        <is>
          <t>m2</t>
        </is>
      </c>
      <c r="D4" s="32">
        <v>320</v>
      </c>
    </row>
    <row r="5">
      <c r="A5" s="6">
        <v>4</v>
      </c>
      <c r="B5" s="4" t="inlineStr">
        <is>
          <t>Đổ bê tông sàn M250</t>
        </is>
      </c>
      <c r="C5" s="6" t="inlineStr">
        <is>
          <t>m3</t>
        </is>
      </c>
      <c r="D5" s="32">
        <v>64.8</v>
      </c>
    </row>
  </sheetData>
  <hyperlinks>
    <hyperlink ref="F1" location="'Index'!A107" display="← Index"/>
  </hyperlink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F7"/>
  <sheetViews>
    <sheetView workbookViewId="0">
      <selection activeCell="B4" sqref="B4:B7"/>
    </sheetView>
  </sheetViews>
  <sheetFormatPr defaultRowHeight="15"/>
  <cols>
    <col min="1" max="1" width="5.00" customWidth="1"/>
    <col min="2" max="2" width="38.00" customWidth="1"/>
    <col min="3" max="3" width="9.00" customWidth="1"/>
    <col min="4" max="4" width="9.00" customWidth="1"/>
    <col min="6" max="6" width="12.00" customWidth="1"/>
  </cols>
  <sheetData>
    <row r="1">
      <c r="A1" s="1" t="inlineStr">
        <is>
          <t>BILL OF QUANTITIES — FOUNDATIONS</t>
        </is>
      </c>
      <c r="F1" s="106" t="inlineStr">
        <is>
          <t>← Index</t>
        </is>
      </c>
    </row>
    <row r="3">
      <c r="A3" s="3" t="inlineStr">
        <is>
          <t>Item</t>
        </is>
      </c>
      <c r="B3" s="3" t="inlineStr">
        <is>
          <t>Description</t>
        </is>
      </c>
      <c r="C3" s="3" t="inlineStr">
        <is>
          <t>Unit</t>
        </is>
      </c>
      <c r="D3" s="3" t="inlineStr">
        <is>
          <t>Qty</t>
        </is>
      </c>
    </row>
    <row r="4">
      <c r="A4" s="6">
        <v>1</v>
      </c>
      <c r="B4" s="4" t="inlineStr">
        <is>
          <t>Lean concrete grade C10, 100 mm thick</t>
        </is>
      </c>
      <c r="C4" s="6" t="inlineStr">
        <is>
          <t>m³</t>
        </is>
      </c>
      <c r="D4" s="32">
        <v>12.6</v>
      </c>
    </row>
    <row r="5">
      <c r="A5" s="6">
        <v>2</v>
      </c>
      <c r="B5" s="4" t="inlineStr">
        <is>
          <t>Reinforced concrete pile caps, C30</t>
        </is>
      </c>
      <c r="C5" s="6" t="inlineStr">
        <is>
          <t>m³</t>
        </is>
      </c>
      <c r="D5" s="32">
        <v>48.3</v>
      </c>
    </row>
    <row r="6">
      <c r="A6" s="6">
        <v>3</v>
      </c>
      <c r="B6" s="4" t="inlineStr">
        <is>
          <t>Formwork to ground beams</t>
        </is>
      </c>
      <c r="C6" s="6" t="inlineStr">
        <is>
          <t>m²</t>
        </is>
      </c>
      <c r="D6" s="32">
        <v>210.5</v>
      </c>
    </row>
    <row r="7">
      <c r="A7" s="6">
        <v>4</v>
      </c>
      <c r="B7" s="4" t="inlineStr">
        <is>
          <t>Deformed bars CB400-V, D16–D25</t>
        </is>
      </c>
      <c r="C7" s="6" t="inlineStr">
        <is>
          <t>t</t>
        </is>
      </c>
      <c r="D7" s="11">
        <v>3.85</v>
      </c>
    </row>
  </sheetData>
  <hyperlinks>
    <hyperlink ref="F1" location="'Index'!A108" display="← Index"/>
  </hyperlink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E10"/>
  <sheetViews>
    <sheetView workbookViewId="0">
      <selection activeCell="C10" sqref="C10"/>
    </sheetView>
  </sheetViews>
  <sheetFormatPr defaultRowHeight="15"/>
  <cols>
    <col min="1" max="1" width="11.00" customWidth="1"/>
    <col min="2" max="2" width="16.00" customWidth="1"/>
    <col min="3" max="3" width="32.00" customWidth="1"/>
    <col min="5" max="5" width="12.00" customWidth="1"/>
  </cols>
  <sheetData>
    <row r="1">
      <c r="A1" s="1" t="inlineStr">
        <is>
          <t>SITE DIARY — 9-STOREY OFFICE BUILDING</t>
        </is>
      </c>
      <c r="E1" s="106" t="inlineStr">
        <is>
          <t>← Index</t>
        </is>
      </c>
    </row>
    <row r="3">
      <c r="A3" s="3" t="inlineStr">
        <is>
          <t>Date</t>
        </is>
      </c>
      <c r="B3" s="3" t="inlineStr">
        <is>
          <t>Crew</t>
        </is>
      </c>
      <c r="C3" s="3" t="inlineStr">
        <is>
          <t>Work item</t>
        </is>
      </c>
    </row>
    <row r="4">
      <c r="A4" s="5">
        <v>46300</v>
      </c>
      <c r="B4" s="4" t="inlineStr">
        <is>
          <t>Concrete crew 1</t>
        </is>
      </c>
      <c r="C4" s="4" t="inlineStr">
        <is>
          <t>Concrete slab level 3</t>
        </is>
      </c>
    </row>
    <row r="5">
      <c r="A5" s="5">
        <v>46300</v>
      </c>
      <c r="B5" s="4" t="inlineStr">
        <is>
          <t>Rebar crew</t>
        </is>
      </c>
      <c r="C5" s="4" t="inlineStr">
        <is>
          <t>Fix column reinforcement</t>
        </is>
      </c>
    </row>
    <row r="6">
      <c r="A6" s="5">
        <v>46301</v>
      </c>
      <c r="B6" s="4" t="inlineStr">
        <is>
          <t>Masonry crew 2</t>
        </is>
      </c>
      <c r="C6" s="4" t="inlineStr">
        <is>
          <t>Brickwork grid A</t>
        </is>
      </c>
    </row>
    <row r="7">
      <c r="A7" s="5">
        <v>46301</v>
      </c>
      <c r="B7" s="4" t="inlineStr">
        <is>
          <t>Formwork crew</t>
        </is>
      </c>
      <c r="C7" s="4" t="inlineStr">
        <is>
          <t>Formwork beams and slab L4</t>
        </is>
      </c>
    </row>
    <row r="8">
      <c r="A8" s="5">
        <v>46302</v>
      </c>
      <c r="B8" s="4" t="inlineStr">
        <is>
          <t>Rebar crew</t>
        </is>
      </c>
      <c r="C8" s="4" t="inlineStr">
        <is>
          <t>Fix column reinforcement</t>
        </is>
      </c>
    </row>
    <row r="9">
      <c r="A9" s="5">
        <v>46302</v>
      </c>
      <c r="B9" s="4" t="inlineStr">
        <is>
          <t>Concrete crew 1</t>
        </is>
      </c>
      <c r="C9" s="4" t="inlineStr">
        <is>
          <t>Pour columns level 4</t>
        </is>
      </c>
    </row>
    <row r="10">
      <c r="A10" s="5">
        <v>46303</v>
      </c>
      <c r="B10" s="4"/>
      <c r="C10" s="4"/>
    </row>
  </sheetData>
  <hyperlinks>
    <hyperlink ref="E1" location="'Index'!A109" display="← Index"/>
  </hyperlink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H8"/>
  <sheetViews>
    <sheetView workbookViewId="0">
      <selection activeCell="C7" sqref="C7"/>
    </sheetView>
  </sheetViews>
  <sheetFormatPr defaultRowHeight="15"/>
  <cols>
    <col min="1" max="1" width="5.00" customWidth="1"/>
    <col min="2" max="2" width="9.00" customWidth="1"/>
    <col min="3" max="3" width="26.00" customWidth="1"/>
    <col min="4" max="4" width="7.00" customWidth="1"/>
    <col min="5" max="5" width="11.00" customWidth="1"/>
    <col min="6" max="6" width="11.00" customWidth="1"/>
    <col min="8" max="8" width="12.00" customWidth="1"/>
  </cols>
  <sheetData>
    <row r="1">
      <c r="H1" s="106" t="inlineStr">
        <is>
          <t>← Index</t>
        </is>
      </c>
    </row>
    <row r="2">
      <c r="A2" s="1" t="inlineStr">
        <is>
          <t>MATERIAL QUANTITIES — 9-STOREY OFFICE BUILDING</t>
        </is>
      </c>
    </row>
    <row r="4">
      <c r="A4" s="3" t="inlineStr">
        <is>
          <t>No.</t>
        </is>
      </c>
      <c r="B4" s="3" t="inlineStr">
        <is>
          <t>Code</t>
        </is>
      </c>
      <c r="C4" s="3" t="inlineStr">
        <is>
          <t>Material</t>
        </is>
      </c>
      <c r="D4" s="3" t="inlineStr">
        <is>
          <t>Unit</t>
        </is>
      </c>
      <c r="E4" s="3" t="inlineStr">
        <is>
          <t>Unit price</t>
        </is>
      </c>
      <c r="F4" s="3" t="inlineStr">
        <is>
          <t>Quantity</t>
        </is>
      </c>
    </row>
    <row r="5">
      <c r="A5" s="6">
        <v>1</v>
      </c>
      <c r="B5" s="4" t="inlineStr">
        <is>
          <t>XM01</t>
        </is>
      </c>
      <c r="C5" s="4" t="inlineStr">
        <is>
          <t>Portland cement PCB40</t>
        </is>
      </c>
      <c r="D5" s="6" t="inlineStr">
        <is>
          <t>kg</t>
        </is>
      </c>
      <c r="E5" s="33">
        <v>1650</v>
      </c>
      <c r="F5" s="33">
        <v>18000</v>
      </c>
    </row>
    <row r="6">
      <c r="A6" s="6">
        <v>2</v>
      </c>
      <c r="B6" s="4" t="inlineStr">
        <is>
          <t>TH16</t>
        </is>
      </c>
      <c r="C6" s="4" t="inlineStr">
        <is>
          <t>Rebar CB400-V D16</t>
        </is>
      </c>
      <c r="D6" s="6" t="inlineStr">
        <is>
          <t>kg</t>
        </is>
      </c>
      <c r="E6" s="33">
        <v>15200</v>
      </c>
      <c r="F6" s="33">
        <v>4520</v>
      </c>
    </row>
    <row r="7">
      <c r="A7" s="6">
        <v>3</v>
      </c>
      <c r="B7" s="4"/>
      <c r="C7" s="4"/>
      <c r="D7" s="4"/>
      <c r="E7" s="4"/>
      <c r="F7" s="4"/>
    </row>
    <row r="8">
      <c r="A8" s="6">
        <v>4</v>
      </c>
      <c r="B8" s="4"/>
      <c r="C8" s="4"/>
      <c r="D8" s="4"/>
      <c r="E8" s="4"/>
      <c r="F8" s="4"/>
    </row>
  </sheetData>
  <hyperlinks>
    <hyperlink ref="H1" location="'Index'!A110" display="← Index"/>
  </hyperlink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F8"/>
  <sheetViews>
    <sheetView workbookViewId="0">
      <selection activeCell="A1" sqref="A1:D8"/>
    </sheetView>
  </sheetViews>
  <sheetFormatPr defaultRowHeight="15"/>
  <cols>
    <col min="1" max="1" width="9.00" customWidth="1"/>
    <col min="2" max="2" width="28.00" customWidth="1"/>
    <col min="3" max="3" width="7.00" customWidth="1"/>
    <col min="4" max="4" width="12.00" customWidth="1"/>
    <col min="6" max="6" width="12.00" customWidth="1"/>
  </cols>
  <sheetData>
    <row r="1">
      <c r="A1" s="3" t="inlineStr">
        <is>
          <t>Code</t>
        </is>
      </c>
      <c r="B1" s="3" t="inlineStr">
        <is>
          <t>Material</t>
        </is>
      </c>
      <c r="C1" s="3" t="inlineStr">
        <is>
          <t>Unit</t>
        </is>
      </c>
      <c r="D1" s="3" t="inlineStr">
        <is>
          <t>Unit price</t>
        </is>
      </c>
      <c r="F1" s="106" t="inlineStr">
        <is>
          <t>← Index</t>
        </is>
      </c>
    </row>
    <row r="2">
      <c r="A2" s="4" t="inlineStr">
        <is>
          <t>XM01</t>
        </is>
      </c>
      <c r="B2" s="4" t="inlineStr">
        <is>
          <t>Portland cement PCB40</t>
        </is>
      </c>
      <c r="C2" s="6" t="inlineStr">
        <is>
          <t>kg</t>
        </is>
      </c>
      <c r="D2" s="33">
        <v>1650</v>
      </c>
    </row>
    <row r="3">
      <c r="A3" s="4" t="inlineStr">
        <is>
          <t>XM02</t>
        </is>
      </c>
      <c r="B3" s="4" t="inlineStr">
        <is>
          <t>Portland cement PCB30</t>
        </is>
      </c>
      <c r="C3" s="6" t="inlineStr">
        <is>
          <t>kg</t>
        </is>
      </c>
      <c r="D3" s="33">
        <v>1450</v>
      </c>
    </row>
    <row r="4">
      <c r="A4" s="4" t="inlineStr">
        <is>
          <t>TH16</t>
        </is>
      </c>
      <c r="B4" s="4" t="inlineStr">
        <is>
          <t>Rebar CB400-V D16</t>
        </is>
      </c>
      <c r="C4" s="6" t="inlineStr">
        <is>
          <t>kg</t>
        </is>
      </c>
      <c r="D4" s="33">
        <v>15200</v>
      </c>
    </row>
    <row r="5">
      <c r="A5" s="4" t="inlineStr">
        <is>
          <t>CV01</t>
        </is>
      </c>
      <c r="B5" s="4" t="inlineStr">
        <is>
          <t>Plastering sand</t>
        </is>
      </c>
      <c r="C5" s="6" t="inlineStr">
        <is>
          <t>m3</t>
        </is>
      </c>
      <c r="D5" s="33">
        <v>320000</v>
      </c>
    </row>
    <row r="6">
      <c r="A6" s="4" t="inlineStr">
        <is>
          <t>DA12</t>
        </is>
      </c>
      <c r="B6" s="4" t="inlineStr">
        <is>
          <t>Crushed stone 1x2</t>
        </is>
      </c>
      <c r="C6" s="6" t="inlineStr">
        <is>
          <t>m3</t>
        </is>
      </c>
      <c r="D6" s="33">
        <v>410000</v>
      </c>
    </row>
    <row r="7">
      <c r="A7" s="4" t="inlineStr">
        <is>
          <t>GO60</t>
        </is>
      </c>
      <c r="B7" s="4" t="inlineStr">
        <is>
          <t>Porcelain tile 600x600</t>
        </is>
      </c>
      <c r="C7" s="6" t="inlineStr">
        <is>
          <t>m2</t>
        </is>
      </c>
      <c r="D7" s="33">
        <v>185000</v>
      </c>
    </row>
    <row r="8">
      <c r="A8" s="4" t="inlineStr">
        <is>
          <t>GR02</t>
        </is>
      </c>
      <c r="B8" s="4" t="inlineStr">
        <is>
          <t>Hollow clay brick</t>
        </is>
      </c>
      <c r="C8" s="6" t="inlineStr">
        <is>
          <t>pcs</t>
        </is>
      </c>
      <c r="D8" s="33">
        <v>1250</v>
      </c>
    </row>
  </sheetData>
  <hyperlinks>
    <hyperlink ref="F1" location="'Index'!A111" display="← Index"/>
  </hyperlink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F9"/>
  <sheetViews>
    <sheetView workbookViewId="0">
      <selection activeCell="B6" sqref="B6"/>
    </sheetView>
  </sheetViews>
  <sheetFormatPr defaultRowHeight="15"/>
  <cols>
    <col min="1" max="1" width="5.00" customWidth="1"/>
    <col min="2" max="2" width="36.00" customWidth="1"/>
    <col min="3" max="3" width="7.00" customWidth="1"/>
    <col min="4" max="4" width="11.00" customWidth="1"/>
    <col min="6" max="6" width="12.00" customWidth="1"/>
  </cols>
  <sheetData>
    <row r="1">
      <c r="A1" s="1" t="inlineStr">
        <is>
          <t>SUPERSTRUCTURE QUANTITIES — 9-STOREY OFFICE BUILDING</t>
        </is>
      </c>
      <c r="F1" s="106" t="inlineStr">
        <is>
          <t>← Index</t>
        </is>
      </c>
    </row>
    <row r="3">
      <c r="A3" s="3" t="inlineStr">
        <is>
          <t>No.</t>
        </is>
      </c>
      <c r="B3" s="3" t="inlineStr">
        <is>
          <t>Work item</t>
        </is>
      </c>
      <c r="C3" s="3" t="inlineStr">
        <is>
          <t>Unit</t>
        </is>
      </c>
      <c r="D3" s="3" t="inlineStr">
        <is>
          <t>Quantity</t>
        </is>
      </c>
    </row>
    <row r="4">
      <c r="A4" s="6">
        <v>1</v>
      </c>
      <c r="B4" s="4" t="inlineStr">
        <is>
          <t>Level-3 column concrete, M300</t>
        </is>
      </c>
      <c r="C4" s="6" t="inlineStr">
        <is>
          <t>m³</t>
        </is>
      </c>
      <c r="D4" s="11">
        <v>18.2</v>
      </c>
    </row>
    <row r="5">
      <c r="A5" s="6">
        <v>2</v>
      </c>
      <c r="B5" s="4" t="inlineStr">
        <is>
          <t>Level-3 beam &amp; slab concrete, M300</t>
        </is>
      </c>
      <c r="C5" s="6" t="inlineStr">
        <is>
          <t>m³</t>
        </is>
      </c>
      <c r="D5" s="11">
        <v>64.5</v>
      </c>
    </row>
    <row r="6">
      <c r="A6" s="6">
        <v>3</v>
      </c>
      <c r="B6" s="4" t="inlineStr">
        <is>
          <t>Level-3 column rebar, CB400-V</t>
        </is>
      </c>
      <c r="C6" s="6" t="inlineStr">
        <is>
          <t>t</t>
        </is>
      </c>
      <c r="D6" s="11">
        <v>3.85</v>
      </c>
    </row>
    <row r="7">
      <c r="A7" s="6">
        <v>4</v>
      </c>
      <c r="B7" s="4" t="inlineStr">
        <is>
          <t>Level-3 beam &amp; slab rebar, CB400-V</t>
        </is>
      </c>
      <c r="C7" s="6" t="inlineStr">
        <is>
          <t>t</t>
        </is>
      </c>
      <c r="D7" s="11">
        <v>9.12</v>
      </c>
    </row>
    <row r="8">
      <c r="A8" s="6">
        <v>5</v>
      </c>
      <c r="B8" s="4" t="inlineStr">
        <is>
          <t>Level-3 column formwork</t>
        </is>
      </c>
      <c r="C8" s="6" t="inlineStr">
        <is>
          <t>m²</t>
        </is>
      </c>
      <c r="D8" s="32">
        <v>142</v>
      </c>
    </row>
    <row r="9">
      <c r="A9" s="6">
        <v>6</v>
      </c>
      <c r="B9" s="4" t="inlineStr">
        <is>
          <t>Level-3 beam &amp; slab formwork</t>
        </is>
      </c>
      <c r="C9" s="6" t="inlineStr">
        <is>
          <t>m²</t>
        </is>
      </c>
      <c r="D9" s="32">
        <v>516</v>
      </c>
    </row>
  </sheetData>
  <hyperlinks>
    <hyperlink ref="F1" location="'Index'!A112" display="← Index"/>
  </hyperlink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F8"/>
  <sheetViews>
    <sheetView workbookViewId="0">
      <selection activeCell="D3" sqref="D3"/>
    </sheetView>
  </sheetViews>
  <sheetFormatPr defaultRowHeight="15"/>
  <cols>
    <col min="1" max="1" width="5.00" customWidth="1"/>
    <col min="2" max="2" width="30.00" customWidth="1"/>
    <col min="4" max="4" width="12.00" customWidth="1"/>
    <col min="6" max="6" width="12.00" customWidth="1"/>
  </cols>
  <sheetData>
    <row r="1">
      <c r="A1" s="1" t="inlineStr">
        <is>
          <t>ACCEPTED QUANTITIES LOG — 9-STOREY OFFICE BUILDING</t>
        </is>
      </c>
      <c r="F1" s="106" t="inlineStr">
        <is>
          <t>← Index</t>
        </is>
      </c>
    </row>
    <row r="3">
      <c r="A3" s="3" t="inlineStr">
        <is>
          <t>No.</t>
        </is>
      </c>
      <c r="B3" s="3" t="inlineStr">
        <is>
          <t>Work item</t>
        </is>
      </c>
      <c r="C3" s="3" t="inlineStr">
        <is>
          <t>Unit</t>
        </is>
      </c>
      <c r="D3" s="3" t="inlineStr">
        <is>
          <t>Contract qty</t>
        </is>
      </c>
    </row>
    <row r="4">
      <c r="A4" s="6">
        <v>1</v>
      </c>
      <c r="B4" s="4" t="inlineStr">
        <is>
          <t>Machine excavation of footing pits</t>
        </is>
      </c>
      <c r="C4" s="6" t="inlineStr">
        <is>
          <t>m³</t>
        </is>
      </c>
      <c r="D4" s="32">
        <v>1250</v>
      </c>
    </row>
    <row r="5">
      <c r="A5" s="6">
        <v>2</v>
      </c>
      <c r="B5" s="4" t="inlineStr">
        <is>
          <t>Blinding concrete M100</t>
        </is>
      </c>
      <c r="C5" s="6" t="inlineStr">
        <is>
          <t>m³</t>
        </is>
      </c>
      <c r="D5" s="32">
        <v>38.5</v>
      </c>
    </row>
    <row r="6">
      <c r="A6" s="6">
        <v>3</v>
      </c>
      <c r="B6" s="4" t="inlineStr">
        <is>
          <t>Footing concrete M300</t>
        </is>
      </c>
      <c r="C6" s="6" t="inlineStr">
        <is>
          <t>m³</t>
        </is>
      </c>
      <c r="D6" s="32">
        <v>412.6</v>
      </c>
    </row>
    <row r="7">
      <c r="A7" s="6">
        <v>4</v>
      </c>
      <c r="B7" s="4" t="inlineStr">
        <is>
          <t>Footing rebar CB400-V</t>
        </is>
      </c>
      <c r="C7" s="6" t="inlineStr">
        <is>
          <t>t</t>
        </is>
      </c>
      <c r="D7" s="32">
        <v>36.8</v>
      </c>
    </row>
    <row r="8">
      <c r="A8" s="6">
        <v>5</v>
      </c>
      <c r="B8" s="4" t="inlineStr">
        <is>
          <t>Footing formwork</t>
        </is>
      </c>
      <c r="C8" s="6" t="inlineStr">
        <is>
          <t>m²</t>
        </is>
      </c>
      <c r="D8" s="32">
        <v>864</v>
      </c>
    </row>
  </sheetData>
  <hyperlinks>
    <hyperlink ref="F1" location="'Index'!A113" display="← Index"/>
  </hyperlink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F10"/>
  <sheetViews>
    <sheetView workbookViewId="0">
      <selection activeCell="A8" sqref="A8:D10"/>
    </sheetView>
  </sheetViews>
  <sheetFormatPr defaultRowHeight="15"/>
  <cols>
    <col min="1" max="1" width="5.00" customWidth="1"/>
    <col min="2" max="2" width="34.00" customWidth="1"/>
    <col min="3" max="3" width="7.00" customWidth="1"/>
    <col min="4" max="4" width="13.00" customWidth="1"/>
    <col min="6" max="6" width="12.00" customWidth="1"/>
  </cols>
  <sheetData>
    <row r="1">
      <c r="A1" s="1" t="inlineStr">
        <is>
          <t>DETAILED ESTIMATE — FOUNDATIONS</t>
        </is>
      </c>
      <c r="F1" s="106" t="inlineStr">
        <is>
          <t>← Index</t>
        </is>
      </c>
    </row>
    <row r="3">
      <c r="A3" s="3" t="inlineStr">
        <is>
          <t>No.</t>
        </is>
      </c>
      <c r="B3" s="3" t="inlineStr">
        <is>
          <t>Work item</t>
        </is>
      </c>
      <c r="C3" s="3" t="inlineStr">
        <is>
          <t>Unit</t>
        </is>
      </c>
      <c r="D3" s="3" t="inlineStr">
        <is>
          <t>Quantity</t>
        </is>
      </c>
    </row>
    <row r="4">
      <c r="A4" s="6">
        <v>1</v>
      </c>
      <c r="B4" s="4" t="inlineStr">
        <is>
          <t>Footing concrete M300</t>
        </is>
      </c>
      <c r="C4" s="6" t="inlineStr">
        <is>
          <t>m³</t>
        </is>
      </c>
      <c r="D4" s="32">
        <v>412.6</v>
      </c>
    </row>
    <row r="5">
      <c r="A5" s="6">
        <v>2</v>
      </c>
      <c r="B5" s="4" t="inlineStr">
        <is>
          <t>Ground beam concrete M300</t>
        </is>
      </c>
      <c r="C5" s="6" t="inlineStr">
        <is>
          <t>m³</t>
        </is>
      </c>
      <c r="D5" s="32">
        <v>58.4</v>
      </c>
    </row>
    <row r="8">
      <c r="A8" s="4"/>
      <c r="B8" s="53" t="inlineStr">
        <is>
          <t>- Materials</t>
        </is>
      </c>
      <c r="C8" s="4"/>
      <c r="D8" s="4"/>
    </row>
    <row r="9">
      <c r="A9" s="4"/>
      <c r="B9" s="53" t="inlineStr">
        <is>
          <t>- Labour</t>
        </is>
      </c>
      <c r="C9" s="4"/>
      <c r="D9" s="4"/>
    </row>
    <row r="10">
      <c r="A10" s="4"/>
      <c r="B10" s="53" t="inlineStr">
        <is>
          <t>- Plant</t>
        </is>
      </c>
      <c r="C10" s="4"/>
      <c r="D10" s="4"/>
    </row>
  </sheetData>
  <hyperlinks>
    <hyperlink ref="F1" location="'Index'!A114" display="← Index"/>
  </hyperlink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F12"/>
  <sheetViews>
    <sheetView workbookViewId="0">
      <selection activeCell="A4" sqref="A4:D12"/>
    </sheetView>
  </sheetViews>
  <sheetFormatPr defaultRowHeight="15"/>
  <cols>
    <col min="1" max="1" width="5.00" customWidth="1"/>
    <col min="2" max="2" width="32.00" customWidth="1"/>
    <col min="3" max="3" width="7.00" customWidth="1"/>
    <col min="4" max="4" width="15.00" customWidth="1"/>
    <col min="6" max="6" width="12.00" customWidth="1"/>
  </cols>
  <sheetData>
    <row r="1">
      <c r="A1" s="1" t="inlineStr">
        <is>
          <t>FOUNDATION QUANTITIES (exported from estimating software)</t>
        </is>
      </c>
      <c r="F1" s="106" t="inlineStr">
        <is>
          <t>← Index</t>
        </is>
      </c>
    </row>
    <row r="3">
      <c r="A3" s="3" t="inlineStr">
        <is>
          <t>No.</t>
        </is>
      </c>
      <c r="B3" s="3" t="inlineStr">
        <is>
          <t>Work item</t>
        </is>
      </c>
      <c r="C3" s="3" t="inlineStr">
        <is>
          <t>Unit</t>
        </is>
      </c>
      <c r="D3" s="3" t="inlineStr">
        <is>
          <t>Quantity</t>
        </is>
      </c>
    </row>
    <row r="4">
      <c r="A4" s="6">
        <v>1</v>
      </c>
      <c r="B4" s="4" t="inlineStr">
        <is>
          <t>Blinding concrete M100</t>
        </is>
      </c>
      <c r="C4" s="6" t="inlineStr">
        <is>
          <t>m³</t>
        </is>
      </c>
      <c r="D4" s="32">
        <v>38.5</v>
      </c>
    </row>
    <row r="5">
      <c r="A5" s="4"/>
      <c r="B5" s="4"/>
      <c r="C5" s="4"/>
      <c r="D5" s="4"/>
    </row>
    <row r="6">
      <c r="A6" s="4"/>
      <c r="B6" s="4"/>
      <c r="C6" s="4"/>
      <c r="D6" s="4"/>
    </row>
    <row r="7">
      <c r="A7" s="6">
        <v>2</v>
      </c>
      <c r="B7" s="4" t="inlineStr">
        <is>
          <t>Footing concrete M300</t>
        </is>
      </c>
      <c r="C7" s="6" t="inlineStr">
        <is>
          <t>m³</t>
        </is>
      </c>
      <c r="D7" s="32">
        <v>412.6</v>
      </c>
    </row>
    <row r="8">
      <c r="A8" s="4"/>
      <c r="B8" s="4"/>
      <c r="C8" s="4"/>
      <c r="D8" s="4"/>
    </row>
    <row r="9">
      <c r="A9" s="6">
        <v>3</v>
      </c>
      <c r="B9" s="4" t="inlineStr">
        <is>
          <t>Footing rebar CB400-V</t>
        </is>
      </c>
      <c r="C9" s="6" t="inlineStr">
        <is>
          <t>t</t>
        </is>
      </c>
      <c r="D9" s="32">
        <v>36.8</v>
      </c>
    </row>
    <row r="10">
      <c r="A10" s="4"/>
      <c r="B10" s="4"/>
      <c r="C10" s="4"/>
      <c r="D10" s="4"/>
    </row>
    <row r="11">
      <c r="A11" s="4"/>
      <c r="B11" s="4"/>
      <c r="C11" s="4"/>
      <c r="D11" s="4"/>
    </row>
    <row r="12">
      <c r="A12" s="6">
        <v>4</v>
      </c>
      <c r="B12" s="4" t="inlineStr">
        <is>
          <t>Footing formwork</t>
        </is>
      </c>
      <c r="C12" s="6" t="inlineStr">
        <is>
          <t>m²</t>
        </is>
      </c>
      <c r="D12" s="32">
        <v>864</v>
      </c>
    </row>
  </sheetData>
  <hyperlinks>
    <hyperlink ref="F1" location="'Index'!A115" display="← Index"/>
  </hyperlink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G11"/>
  <sheetViews>
    <sheetView workbookViewId="0">
      <selection activeCell="B3" sqref="B3"/>
    </sheetView>
  </sheetViews>
  <sheetFormatPr defaultRowHeight="15"/>
  <cols>
    <col min="1" max="1" width="5.00" customWidth="1"/>
    <col min="2" max="2" width="15.00" customWidth="1"/>
    <col min="3" max="3" width="30.00" customWidth="1"/>
    <col min="4" max="4" width="6.00" customWidth="1"/>
    <col min="5" max="5" width="13.00" customWidth="1"/>
    <col min="7" max="7" width="12.00" customWidth="1"/>
  </cols>
  <sheetData>
    <row r="1">
      <c r="A1" s="1" t="inlineStr">
        <is>
          <t>QUANTITY SUMMARY — 9-STOREY OFFICE BUILDING</t>
        </is>
      </c>
      <c r="G1" s="106" t="inlineStr">
        <is>
          <t>← Index</t>
        </is>
      </c>
    </row>
    <row r="3">
      <c r="A3" s="3" t="inlineStr">
        <is>
          <t>No.</t>
        </is>
      </c>
      <c r="B3" s="3" t="inlineStr">
        <is>
          <t>Package</t>
        </is>
      </c>
      <c r="C3" s="3" t="inlineStr">
        <is>
          <t>Work item</t>
        </is>
      </c>
      <c r="D3" s="3" t="inlineStr">
        <is>
          <t>Unit</t>
        </is>
      </c>
      <c r="E3" s="3" t="inlineStr">
        <is>
          <t>Quantity</t>
        </is>
      </c>
    </row>
    <row r="4">
      <c r="A4" s="6">
        <v>1</v>
      </c>
      <c r="B4" s="4" t="inlineStr">
        <is>
          <t>Steelwork</t>
        </is>
      </c>
      <c r="C4" s="4" t="inlineStr">
        <is>
          <t>Steel column I300</t>
        </is>
      </c>
      <c r="D4" s="6" t="inlineStr">
        <is>
          <t>t</t>
        </is>
      </c>
      <c r="E4" s="11">
        <v>12.4</v>
      </c>
    </row>
    <row r="5">
      <c r="A5" s="6">
        <v>2</v>
      </c>
      <c r="B5" s="4" t="inlineStr">
        <is>
          <t>Concrete</t>
        </is>
      </c>
      <c r="C5" s="4" t="inlineStr">
        <is>
          <t>Level-2 slab concrete, M300</t>
        </is>
      </c>
      <c r="D5" s="6" t="inlineStr">
        <is>
          <t>m³</t>
        </is>
      </c>
      <c r="E5" s="11">
        <v>96.5</v>
      </c>
    </row>
    <row r="6">
      <c r="A6" s="6">
        <v>3</v>
      </c>
      <c r="B6" s="4" t="inlineStr">
        <is>
          <t>Steelwork</t>
        </is>
      </c>
      <c r="C6" s="4" t="inlineStr">
        <is>
          <t>Steel beam I400</t>
        </is>
      </c>
      <c r="D6" s="6" t="inlineStr">
        <is>
          <t>t</t>
        </is>
      </c>
      <c r="E6" s="11">
        <v>18.75</v>
      </c>
    </row>
    <row r="7">
      <c r="A7" s="6">
        <v>4</v>
      </c>
      <c r="B7" s="4" t="inlineStr">
        <is>
          <t>Steelwork</t>
        </is>
      </c>
      <c r="C7" s="4" t="inlineStr">
        <is>
          <t>Anchor bolts M24</t>
        </is>
      </c>
      <c r="D7" s="6" t="inlineStr">
        <is>
          <t>set</t>
        </is>
      </c>
      <c r="E7" s="4">
        <v>64</v>
      </c>
    </row>
    <row r="8">
      <c r="A8" s="6">
        <v>5</v>
      </c>
      <c r="B8" s="4" t="inlineStr">
        <is>
          <t>Finishes</t>
        </is>
      </c>
      <c r="C8" s="4" t="inlineStr">
        <is>
          <t>Internal wall plaster</t>
        </is>
      </c>
      <c r="D8" s="6" t="inlineStr">
        <is>
          <t>m²</t>
        </is>
      </c>
      <c r="E8" s="32">
        <v>1240</v>
      </c>
    </row>
    <row r="9">
      <c r="A9" s="6">
        <v>6</v>
      </c>
      <c r="B9" s="4" t="inlineStr">
        <is>
          <t>Concrete</t>
        </is>
      </c>
      <c r="C9" s="4" t="inlineStr">
        <is>
          <t>Level-2 column concrete, M300</t>
        </is>
      </c>
      <c r="D9" s="6" t="inlineStr">
        <is>
          <t>m³</t>
        </is>
      </c>
      <c r="E9" s="11">
        <v>22.8</v>
      </c>
    </row>
    <row r="10">
      <c r="A10" s="6">
        <v>7</v>
      </c>
      <c r="B10" s="4" t="inlineStr">
        <is>
          <t>Steelwork</t>
        </is>
      </c>
      <c r="C10" s="4" t="inlineStr">
        <is>
          <t>Anti-rust paint on steelwork</t>
        </is>
      </c>
      <c r="D10" s="6" t="inlineStr">
        <is>
          <t>m²</t>
        </is>
      </c>
      <c r="E10" s="32">
        <v>486</v>
      </c>
    </row>
    <row r="11">
      <c r="A11" s="6">
        <v>8</v>
      </c>
      <c r="B11" s="4" t="inlineStr">
        <is>
          <t>Finishes</t>
        </is>
      </c>
      <c r="C11" s="4" t="inlineStr">
        <is>
          <t>600x600 floor tiling</t>
        </is>
      </c>
      <c r="D11" s="6" t="inlineStr">
        <is>
          <t>m²</t>
        </is>
      </c>
      <c r="E11" s="32">
        <v>815</v>
      </c>
    </row>
  </sheetData>
  <hyperlinks>
    <hyperlink ref="G1" location="'Index'!A116" display="← Index"/>
  </hyperlink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I14"/>
  <sheetViews>
    <sheetView workbookViewId="0">
      <selection activeCell="E8" sqref="E8"/>
    </sheetView>
  </sheetViews>
  <sheetFormatPr defaultRowHeight="15"/>
  <cols>
    <col min="1" max="1" width="5.00" customWidth="1"/>
    <col min="2" max="2" width="30.00" customWidth="1"/>
    <col min="3" max="3" width="7.00" customWidth="1"/>
    <col min="4" max="4" width="11.00" customWidth="1"/>
    <col min="5" max="5" width="14.00" customWidth="1"/>
    <col min="6" max="6" width="9.00" customWidth="1"/>
    <col min="7" max="7" width="9.00" customWidth="1"/>
    <col min="9" max="9" width="12.00" customWidth="1"/>
  </cols>
  <sheetData>
    <row r="1">
      <c r="A1" s="1" t="inlineStr">
        <is>
          <t>SHELL QUANTITIES — 9-STOREY OFFICE BUILDING</t>
        </is>
      </c>
      <c r="I1" s="106" t="inlineStr">
        <is>
          <t>← Index</t>
        </is>
      </c>
    </row>
    <row r="3">
      <c r="A3" s="3" t="inlineStr">
        <is>
          <t>No.</t>
        </is>
      </c>
      <c r="B3" s="3" t="inlineStr">
        <is>
          <t>Work item</t>
        </is>
      </c>
      <c r="C3" s="3" t="inlineStr">
        <is>
          <t>Unit</t>
        </is>
      </c>
      <c r="D3" s="3" t="inlineStr">
        <is>
          <t>Quantity</t>
        </is>
      </c>
      <c r="E3" s="3" t="inlineStr">
        <is>
          <t>Amount (VND)</t>
        </is>
      </c>
      <c r="F3" s="54"/>
      <c r="G3" s="54"/>
    </row>
    <row r="4">
      <c r="A4" s="6">
        <v>1</v>
      </c>
      <c r="B4" s="4" t="inlineStr">
        <is>
          <t>Columns L1–L3 concrete, M300</t>
        </is>
      </c>
      <c r="C4" s="6" t="inlineStr">
        <is>
          <t>m³</t>
        </is>
      </c>
      <c r="D4" s="32">
        <v>54.6</v>
      </c>
      <c r="E4" s="33">
        <v>68250000</v>
      </c>
      <c r="F4" s="54"/>
      <c r="G4" s="54"/>
    </row>
    <row r="5">
      <c r="A5" s="6">
        <v>2</v>
      </c>
      <c r="B5" s="4" t="inlineStr">
        <is>
          <t>Beams &amp; slabs L1–L3, M300</t>
        </is>
      </c>
      <c r="C5" s="6" t="inlineStr">
        <is>
          <t>m³</t>
        </is>
      </c>
      <c r="D5" s="32">
        <v>193.5</v>
      </c>
      <c r="E5" s="33">
        <v>241875000</v>
      </c>
      <c r="F5" s="54"/>
      <c r="G5" s="54"/>
    </row>
    <row r="6">
      <c r="A6" s="6">
        <v>3</v>
      </c>
      <c r="B6" s="4" t="inlineStr">
        <is>
          <t>Rebar CB400-V</t>
        </is>
      </c>
      <c r="C6" s="6" t="inlineStr">
        <is>
          <t>t</t>
        </is>
      </c>
      <c r="D6" s="32">
        <v>38.9</v>
      </c>
      <c r="E6" s="33">
        <v>700200000</v>
      </c>
      <c r="F6" s="54"/>
      <c r="G6" s="54"/>
    </row>
    <row r="7">
      <c r="A7" s="6">
        <v>4</v>
      </c>
      <c r="B7" s="4" t="inlineStr">
        <is>
          <t>Formwork to columns, beams, slabs</t>
        </is>
      </c>
      <c r="C7" s="6" t="inlineStr">
        <is>
          <t>m²</t>
        </is>
      </c>
      <c r="D7" s="32">
        <v>1820</v>
      </c>
      <c r="E7" s="33">
        <v>309400000</v>
      </c>
      <c r="F7" s="54"/>
      <c r="G7" s="54"/>
    </row>
    <row r="8">
      <c r="A8" s="6">
        <v>5</v>
      </c>
      <c r="B8" s="4" t="inlineStr">
        <is>
          <t>220 mm hollow brick walls</t>
        </is>
      </c>
      <c r="C8" s="6" t="inlineStr">
        <is>
          <t>m³</t>
        </is>
      </c>
      <c r="D8" s="32">
        <v>86.2</v>
      </c>
      <c r="E8" s="33">
        <v>112060000</v>
      </c>
      <c r="F8" s="54"/>
      <c r="G8" s="54"/>
    </row>
    <row r="9">
      <c r="A9" s="4"/>
      <c r="B9" s="4"/>
      <c r="C9" s="4"/>
      <c r="D9" s="4"/>
      <c r="E9" s="4"/>
      <c r="F9" s="54"/>
      <c r="G9" s="54"/>
    </row>
    <row r="10">
      <c r="A10" s="4"/>
      <c r="B10" s="4"/>
      <c r="C10" s="4"/>
      <c r="D10" s="4"/>
      <c r="E10" s="4"/>
      <c r="F10" s="54"/>
      <c r="G10" s="54"/>
    </row>
    <row r="11">
      <c r="A11" s="4"/>
      <c r="B11" s="4"/>
      <c r="C11" s="4"/>
      <c r="D11" s="4"/>
      <c r="E11" s="4"/>
      <c r="F11" s="54"/>
      <c r="G11" s="54"/>
    </row>
    <row r="12">
      <c r="A12" s="4"/>
      <c r="B12" s="4"/>
      <c r="C12" s="4"/>
      <c r="D12" s="4"/>
      <c r="E12" s="4"/>
      <c r="F12" s="54"/>
      <c r="G12" s="54"/>
    </row>
    <row r="13">
      <c r="A13" s="4"/>
      <c r="B13" s="4"/>
      <c r="C13" s="4"/>
      <c r="D13" s="4"/>
      <c r="E13" s="4"/>
      <c r="F13" s="54"/>
      <c r="G13" s="54"/>
    </row>
    <row r="14">
      <c r="A14" s="4"/>
      <c r="B14" s="4"/>
      <c r="C14" s="4"/>
      <c r="D14" s="4"/>
      <c r="E14" s="4"/>
      <c r="F14" s="54"/>
      <c r="G14" s="54"/>
    </row>
  </sheetData>
  <hyperlinks>
    <hyperlink ref="I1" location="'Index'!A117" display="← Index"/>
  </hyperlink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F7"/>
  <sheetViews>
    <sheetView workbookViewId="0">
      <selection activeCell="B4" sqref="B4:B6"/>
    </sheetView>
  </sheetViews>
  <sheetFormatPr defaultRowHeight="15"/>
  <cols>
    <col min="1" max="1" width="5.00" customWidth="1"/>
    <col min="2" max="2" width="46.00" customWidth="1"/>
    <col min="3" max="3" width="7.00" customWidth="1"/>
    <col min="4" max="4" width="11.00" customWidth="1"/>
    <col min="6" max="6" width="12.00" customWidth="1"/>
  </cols>
  <sheetData>
    <row r="1">
      <c r="A1" s="1" t="inlineStr">
        <is>
          <t>QUANTITY NOTES — FOUNDATIONS</t>
        </is>
      </c>
      <c r="F1" s="106" t="inlineStr">
        <is>
          <t>← Index</t>
        </is>
      </c>
    </row>
    <row r="3">
      <c r="A3" s="3" t="inlineStr">
        <is>
          <t>No.</t>
        </is>
      </c>
      <c r="B3" s="3" t="inlineStr">
        <is>
          <t>Quantity description</t>
        </is>
      </c>
      <c r="C3" s="3" t="inlineStr">
        <is>
          <t>Unit</t>
        </is>
      </c>
      <c r="D3" s="3" t="inlineStr">
        <is>
          <t>Quantity</t>
        </is>
      </c>
    </row>
    <row r="4">
      <c r="A4" s="6">
        <v>1</v>
      </c>
      <c r="B4" s="4" t="inlineStr">
        <is>
          <t>Blinding concrete 4x6 stone M100</t>
        </is>
      </c>
      <c r="C4" s="6" t="inlineStr">
        <is>
          <t>m³</t>
        </is>
      </c>
      <c r="D4" s="32">
        <v>12.5</v>
      </c>
    </row>
    <row r="5">
      <c r="A5" s="4"/>
      <c r="B5" s="4" t="inlineStr">
        <is>
          <t>100 mm thick, volume 12,5 m³</t>
        </is>
      </c>
      <c r="C5" s="4"/>
      <c r="D5" s="4"/>
    </row>
    <row r="6">
      <c r="A6" s="4"/>
      <c r="B6" s="4" t="inlineStr">
        <is>
          <t>Location: footings M1, M2 (grid 1–3)</t>
        </is>
      </c>
      <c r="C6" s="4"/>
      <c r="D6" s="4"/>
    </row>
    <row r="7">
      <c r="A7" s="6">
        <v>2</v>
      </c>
      <c r="B7" s="4" t="inlineStr">
        <is>
          <t>Footing concrete M300</t>
        </is>
      </c>
      <c r="C7" s="6" t="inlineStr">
        <is>
          <t>m³</t>
        </is>
      </c>
      <c r="D7" s="32">
        <v>412.6</v>
      </c>
    </row>
  </sheetData>
  <hyperlinks>
    <hyperlink ref="F1" location="'Index'!A120" display="← Index"/>
  </hyperlink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G9"/>
  <sheetViews>
    <sheetView workbookViewId="0">
      <selection activeCell="A4" sqref="A4:A9"/>
    </sheetView>
  </sheetViews>
  <sheetFormatPr defaultRowHeight="15"/>
  <cols>
    <col min="1" max="1" width="14.00" customWidth="1"/>
    <col min="2" max="2" width="8.00" customWidth="1"/>
    <col min="3" max="3" width="10.00" customWidth="1"/>
    <col min="4" max="4" width="12.00" customWidth="1"/>
    <col min="5" max="5" width="9.00" customWidth="1"/>
    <col min="7" max="7" width="12.00" customWidth="1"/>
  </cols>
  <sheetData>
    <row r="1">
      <c r="A1" s="1" t="inlineStr">
        <is>
          <t>REBAR SCHEDULE — FOOTINGS, LEVEL-1 COLUMNS</t>
        </is>
      </c>
      <c r="G1" s="106" t="inlineStr">
        <is>
          <t>← Index</t>
        </is>
      </c>
    </row>
    <row r="3" ht="28.50" customHeight="1">
      <c r="A3" s="2" t="inlineStr">
        <is>
          <t>Member</t>
        </is>
      </c>
      <c r="B3" s="2" t="inlineStr">
        <is>
          <t>Mark</t>
        </is>
      </c>
      <c r="C3" s="2" t="inlineStr">
        <is>
          <t>Diameter</t>
        </is>
      </c>
      <c r="D3" s="2" t="inlineStr">
        <is>
          <t>Length (mm)</t>
        </is>
      </c>
      <c r="E3" s="2" t="inlineStr">
        <is>
          <t>Bars</t>
        </is>
      </c>
    </row>
    <row r="4">
      <c r="A4" s="4" t="inlineStr">
        <is>
          <t>Footing M1</t>
        </is>
      </c>
      <c r="B4" s="6">
        <v>1</v>
      </c>
      <c r="C4" s="6" t="inlineStr">
        <is>
          <t>ø16</t>
        </is>
      </c>
      <c r="D4" s="33">
        <v>2350</v>
      </c>
      <c r="E4" s="4">
        <v>24</v>
      </c>
    </row>
    <row r="5">
      <c r="A5" s="4" t="inlineStr">
        <is>
          <t>Footing M1</t>
        </is>
      </c>
      <c r="B5" s="6">
        <v>2</v>
      </c>
      <c r="C5" s="6" t="inlineStr">
        <is>
          <t>ø12</t>
        </is>
      </c>
      <c r="D5" s="33">
        <v>2350</v>
      </c>
      <c r="E5" s="4">
        <v>24</v>
      </c>
    </row>
    <row r="6">
      <c r="A6" s="4" t="inlineStr">
        <is>
          <t>Footing M1</t>
        </is>
      </c>
      <c r="B6" s="6">
        <v>3</v>
      </c>
      <c r="C6" s="6" t="inlineStr">
        <is>
          <t>ø8</t>
        </is>
      </c>
      <c r="D6" s="33">
        <v>1420</v>
      </c>
      <c r="E6" s="4">
        <v>36</v>
      </c>
    </row>
    <row r="7">
      <c r="A7" s="4" t="inlineStr">
        <is>
          <t>Column C1</t>
        </is>
      </c>
      <c r="B7" s="6">
        <v>4</v>
      </c>
      <c r="C7" s="6" t="inlineStr">
        <is>
          <t>ø20</t>
        </is>
      </c>
      <c r="D7" s="33">
        <v>3900</v>
      </c>
      <c r="E7" s="4">
        <v>8</v>
      </c>
    </row>
    <row r="8">
      <c r="A8" s="4" t="inlineStr">
        <is>
          <t>Column C1</t>
        </is>
      </c>
      <c r="B8" s="6">
        <v>5</v>
      </c>
      <c r="C8" s="6" t="inlineStr">
        <is>
          <t>ø8</t>
        </is>
      </c>
      <c r="D8" s="33">
        <v>1560</v>
      </c>
      <c r="E8" s="4">
        <v>30</v>
      </c>
    </row>
    <row r="9">
      <c r="A9" s="4" t="inlineStr">
        <is>
          <t>Column C1</t>
        </is>
      </c>
      <c r="B9" s="6">
        <v>6</v>
      </c>
      <c r="C9" s="6" t="inlineStr">
        <is>
          <t>ø8</t>
        </is>
      </c>
      <c r="D9" s="4">
        <v>980</v>
      </c>
      <c r="E9" s="4">
        <v>30</v>
      </c>
    </row>
  </sheetData>
  <hyperlinks>
    <hyperlink ref="G1" location="'Index'!A121" display="← Index"/>
  </hyperlink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E9"/>
  <sheetViews>
    <sheetView workbookViewId="0">
      <selection activeCell="A4" sqref="A4:C9"/>
    </sheetView>
  </sheetViews>
  <sheetFormatPr defaultRowHeight="15"/>
  <cols>
    <col min="1" max="1" width="12.00" customWidth="1"/>
    <col min="2" max="2" width="12.00" customWidth="1"/>
    <col min="3" max="3" width="22.00" customWidth="1"/>
    <col min="5" max="5" width="12.00" customWidth="1"/>
  </cols>
  <sheetData>
    <row r="1">
      <c r="A1" s="1" t="inlineStr">
        <is>
          <t>CONCRETE TAKE-OFF BY MEMBER</t>
        </is>
      </c>
      <c r="E1" s="106" t="inlineStr">
        <is>
          <t>← Index</t>
        </is>
      </c>
    </row>
    <row r="3">
      <c r="A3" s="3" t="inlineStr">
        <is>
          <t>Work code</t>
        </is>
      </c>
      <c r="B3" s="3" t="inlineStr">
        <is>
          <t>Quantity</t>
        </is>
      </c>
      <c r="C3" s="3" t="inlineStr">
        <is>
          <t>Location</t>
        </is>
      </c>
    </row>
    <row r="4">
      <c r="A4" s="4" t="inlineStr">
        <is>
          <t>AF.11110</t>
        </is>
      </c>
      <c r="B4" s="32">
        <v>12.5</v>
      </c>
      <c r="C4" s="4" t="inlineStr">
        <is>
          <t>Footing M1</t>
        </is>
      </c>
    </row>
    <row r="5">
      <c r="A5" s="4" t="inlineStr">
        <is>
          <t>AF.11110</t>
        </is>
      </c>
      <c r="B5" s="32">
        <v>8.4</v>
      </c>
      <c r="C5" s="4" t="inlineStr">
        <is>
          <t>Footing M2</t>
        </is>
      </c>
    </row>
    <row r="6">
      <c r="A6" s="4" t="inlineStr">
        <is>
          <t>AF.12220</t>
        </is>
      </c>
      <c r="B6" s="32">
        <v>6.2</v>
      </c>
      <c r="C6" s="4" t="inlineStr">
        <is>
          <t>Column C1</t>
        </is>
      </c>
    </row>
    <row r="7">
      <c r="A7" s="4" t="inlineStr">
        <is>
          <t>AF.11110</t>
        </is>
      </c>
      <c r="B7" s="32">
        <v>6.3</v>
      </c>
      <c r="C7" s="4" t="inlineStr">
        <is>
          <t>Footing M3</t>
        </is>
      </c>
    </row>
    <row r="8">
      <c r="A8" s="4" t="inlineStr">
        <is>
          <t>AF.12220</t>
        </is>
      </c>
      <c r="B8" s="32">
        <v>5.9</v>
      </c>
      <c r="C8" s="4" t="inlineStr">
        <is>
          <t>Column C2</t>
        </is>
      </c>
    </row>
    <row r="9">
      <c r="A9" s="4" t="inlineStr">
        <is>
          <t>AF.13110</t>
        </is>
      </c>
      <c r="B9" s="32">
        <v>24.6</v>
      </c>
      <c r="C9" s="4" t="inlineStr">
        <is>
          <t>Beam D1</t>
        </is>
      </c>
    </row>
  </sheetData>
  <hyperlinks>
    <hyperlink ref="E1" location="'Index'!A122" display="← Index"/>
  </hyperlink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F13"/>
  <sheetViews>
    <sheetView workbookViewId="0">
      <selection activeCell="A4" sqref="A4:A13"/>
    </sheetView>
  </sheetViews>
  <sheetFormatPr defaultRowHeight="15"/>
  <cols>
    <col min="1" max="1" width="8.00" customWidth="1"/>
    <col min="2" max="2" width="38.00" customWidth="1"/>
    <col min="3" max="3" width="9.00" customWidth="1"/>
    <col min="4" max="4" width="11.00" customWidth="1"/>
    <col min="6" max="6" width="12.00" customWidth="1"/>
  </cols>
  <sheetData>
    <row r="1">
      <c r="A1" s="1" t="inlineStr">
        <is>
          <t>BILL OF QUANTITIES — 9-STOREY OFFICE BUILDING</t>
        </is>
      </c>
      <c r="F1" s="106" t="inlineStr">
        <is>
          <t>← Index</t>
        </is>
      </c>
    </row>
    <row r="3">
      <c r="A3" s="3" t="inlineStr">
        <is>
          <t>Ref.</t>
        </is>
      </c>
      <c r="B3" s="3" t="inlineStr">
        <is>
          <t>Work item</t>
        </is>
      </c>
      <c r="C3" s="3" t="inlineStr">
        <is>
          <t>Unit</t>
        </is>
      </c>
      <c r="D3" s="3" t="inlineStr">
        <is>
          <t>Quantity</t>
        </is>
      </c>
    </row>
    <row r="4">
      <c r="A4" s="31">
        <v>1</v>
      </c>
      <c r="B4" s="25" t="inlineStr">
        <is>
          <t>SUBSTRUCTURE</t>
        </is>
      </c>
      <c r="C4" s="4"/>
      <c r="D4" s="4"/>
    </row>
    <row r="5">
      <c r="A5" s="6" t="inlineStr">
        <is>
          <t>1.1</t>
        </is>
      </c>
      <c r="B5" s="4" t="inlineStr">
        <is>
          <t>Earthworks</t>
        </is>
      </c>
      <c r="C5" s="4"/>
      <c r="D5" s="4"/>
    </row>
    <row r="6">
      <c r="A6" s="6" t="inlineStr">
        <is>
          <t>1.1.1</t>
        </is>
      </c>
      <c r="B6" s="4" t="inlineStr">
        <is>
          <t>Machine excavation of footing pits</t>
        </is>
      </c>
      <c r="C6" s="6" t="inlineStr">
        <is>
          <t>m³</t>
        </is>
      </c>
      <c r="D6" s="32">
        <v>1250</v>
      </c>
    </row>
    <row r="7">
      <c r="A7" s="6" t="inlineStr">
        <is>
          <t>1.1.2</t>
        </is>
      </c>
      <c r="B7" s="4" t="inlineStr">
        <is>
          <t>Backfill to K95 compaction</t>
        </is>
      </c>
      <c r="C7" s="6" t="inlineStr">
        <is>
          <t>m³</t>
        </is>
      </c>
      <c r="D7" s="32">
        <v>640</v>
      </c>
    </row>
    <row r="8">
      <c r="A8" s="6" t="inlineStr">
        <is>
          <t>1.2</t>
        </is>
      </c>
      <c r="B8" s="4" t="inlineStr">
        <is>
          <t>Foundation concrete</t>
        </is>
      </c>
      <c r="C8" s="4"/>
      <c r="D8" s="4"/>
    </row>
    <row r="9">
      <c r="A9" s="6" t="inlineStr">
        <is>
          <t>1.2.1</t>
        </is>
      </c>
      <c r="B9" s="4" t="inlineStr">
        <is>
          <t>Blinding concrete M100</t>
        </is>
      </c>
      <c r="C9" s="6" t="inlineStr">
        <is>
          <t>m³</t>
        </is>
      </c>
      <c r="D9" s="32">
        <v>38.5</v>
      </c>
    </row>
    <row r="10">
      <c r="A10" s="6" t="inlineStr">
        <is>
          <t>1.2.2</t>
        </is>
      </c>
      <c r="B10" s="4" t="inlineStr">
        <is>
          <t>Footing concrete M300</t>
        </is>
      </c>
      <c r="C10" s="6" t="inlineStr">
        <is>
          <t>m³</t>
        </is>
      </c>
      <c r="D10" s="32">
        <v>412.6</v>
      </c>
    </row>
    <row r="11">
      <c r="A11" s="31">
        <v>2</v>
      </c>
      <c r="B11" s="25" t="inlineStr">
        <is>
          <t>SUPERSTRUCTURE</t>
        </is>
      </c>
      <c r="C11" s="4"/>
      <c r="D11" s="4"/>
    </row>
    <row r="12">
      <c r="A12" s="6" t="inlineStr">
        <is>
          <t>2.1</t>
        </is>
      </c>
      <c r="B12" s="4" t="inlineStr">
        <is>
          <t>Columns L1–L3 concrete, M300</t>
        </is>
      </c>
      <c r="C12" s="6" t="inlineStr">
        <is>
          <t>m³</t>
        </is>
      </c>
      <c r="D12" s="32">
        <v>54.6</v>
      </c>
    </row>
    <row r="13">
      <c r="A13" s="6" t="inlineStr">
        <is>
          <t>2.2</t>
        </is>
      </c>
      <c r="B13" s="4" t="inlineStr">
        <is>
          <t>Beams &amp; slabs L1–L3, M300</t>
        </is>
      </c>
      <c r="C13" s="6" t="inlineStr">
        <is>
          <t>m³</t>
        </is>
      </c>
      <c r="D13" s="32">
        <v>193.5</v>
      </c>
    </row>
  </sheetData>
  <hyperlinks>
    <hyperlink ref="F1" location="'Index'!A123" display="← Index"/>
  </hyperlink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H8"/>
  <sheetViews>
    <sheetView workbookViewId="0">
      <selection activeCell="A3" sqref="A3:F8"/>
    </sheetView>
  </sheetViews>
  <sheetFormatPr defaultRowHeight="15"/>
  <cols>
    <col min="1" max="1" width="4.00" customWidth="1"/>
    <col min="2" max="2" width="20.00" customWidth="1"/>
    <col min="3" max="3" width="12.00" customWidth="1"/>
    <col min="4" max="4" width="12.00" customWidth="1"/>
    <col min="5" max="5" width="12.00" customWidth="1"/>
    <col min="6" max="6" width="12.00" customWidth="1"/>
    <col min="8" max="8" width="12.00" customWidth="1"/>
  </cols>
  <sheetData>
    <row r="1">
      <c r="A1" s="29" t="inlineStr">
        <is>
          <t>CONSTRUCTION WORK ACCEPTANCE RECORD</t>
        </is>
      </c>
      <c r="H1" s="106" t="inlineStr">
        <is>
          <t>← Index</t>
        </is>
      </c>
    </row>
    <row r="3">
      <c r="A3" s="1" t="inlineStr">
        <is>
          <t>1. Work accepted:</t>
        </is>
      </c>
    </row>
    <row r="4">
      <c r="B4" s="18" t="inlineStr">
        <is>
          <t>Rebar to footings M1, M2 — main bars ø18 grade CB400-V, links ø8 at 150; type, number, spacing and concrete cover checked.</t>
        </is>
      </c>
    </row>
    <row r="5">
      <c r="A5" s="1" t="inlineStr">
        <is>
          <t>2. Inspection time:</t>
        </is>
      </c>
    </row>
    <row r="6">
      <c r="B6" s="18" t="inlineStr">
        <is>
          <t>Start 08:00 on 08/10/2026 — end 10:30 on 08/10/2026</t>
        </is>
      </c>
    </row>
    <row r="7">
      <c r="A7" s="1" t="inlineStr">
        <is>
          <t>3. Assessment of the work done:</t>
        </is>
      </c>
    </row>
    <row r="8">
      <c r="B8" s="18" t="inlineStr">
        <is>
          <t>Work complies with shop drawings KC-03 to KC-07, TCVN 4453:1995 and the project specification; ready for formwork erection and footing concreting.</t>
        </is>
      </c>
    </row>
  </sheetData>
  <mergeCells count="4">
    <mergeCell ref="A1:F1"/>
    <mergeCell ref="B4:F4"/>
    <mergeCell ref="B6:F6"/>
    <mergeCell ref="B8:F8"/>
  </mergeCells>
  <hyperlinks>
    <hyperlink ref="H1" location="'Index'!A124" display="← Index"/>
  </hyperlink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G11"/>
  <sheetViews>
    <sheetView workbookViewId="0">
      <selection activeCell="A3" sqref="A3:E11"/>
    </sheetView>
  </sheetViews>
  <sheetFormatPr defaultRowHeight="15"/>
  <cols>
    <col min="1" max="1" width="5.00" customWidth="1"/>
    <col min="2" max="2" width="15.00" customWidth="1"/>
    <col min="3" max="3" width="34.00" customWidth="1"/>
    <col min="4" max="4" width="6.00" customWidth="1"/>
    <col min="5" max="5" width="12.00" customWidth="1"/>
    <col min="7" max="7" width="12.00" customWidth="1"/>
  </cols>
  <sheetData>
    <row r="1">
      <c r="A1" s="1" t="inlineStr">
        <is>
          <t>BILL OF QUANTITIES — 9-STOREY OFFICE BUILDING</t>
        </is>
      </c>
      <c r="G1" s="106" t="inlineStr">
        <is>
          <t>← Index</t>
        </is>
      </c>
    </row>
    <row r="3">
      <c r="A3" s="3" t="inlineStr">
        <is>
          <t>No.</t>
        </is>
      </c>
      <c r="B3" s="3" t="inlineStr">
        <is>
          <t>Package</t>
        </is>
      </c>
      <c r="C3" s="3" t="inlineStr">
        <is>
          <t>Work item</t>
        </is>
      </c>
      <c r="D3" s="3" t="inlineStr">
        <is>
          <t>Unit</t>
        </is>
      </c>
      <c r="E3" s="3" t="inlineStr">
        <is>
          <t>Quantity</t>
        </is>
      </c>
    </row>
    <row r="4" hidden="1">
      <c r="A4" s="6">
        <v>1</v>
      </c>
      <c r="B4" s="4" t="inlineStr">
        <is>
          <t>Substructure</t>
        </is>
      </c>
      <c r="C4" s="4" t="inlineStr">
        <is>
          <t>Footing concrete M300</t>
        </is>
      </c>
      <c r="D4" s="6" t="inlineStr">
        <is>
          <t>m³</t>
        </is>
      </c>
      <c r="E4" s="32">
        <v>412.6</v>
      </c>
    </row>
    <row r="5" hidden="1">
      <c r="A5" s="6">
        <v>2</v>
      </c>
      <c r="B5" s="4" t="inlineStr">
        <is>
          <t>Substructure</t>
        </is>
      </c>
      <c r="C5" s="4" t="inlineStr">
        <is>
          <t>Footing rebar CB400-V</t>
        </is>
      </c>
      <c r="D5" s="6" t="inlineStr">
        <is>
          <t>t</t>
        </is>
      </c>
      <c r="E5" s="32">
        <v>36.8</v>
      </c>
    </row>
    <row r="6">
      <c r="A6" s="6">
        <v>3</v>
      </c>
      <c r="B6" s="4" t="inlineStr">
        <is>
          <t>Superstructure</t>
        </is>
      </c>
      <c r="C6" s="4" t="inlineStr">
        <is>
          <t>Columns L1–L3 concrete, M300</t>
        </is>
      </c>
      <c r="D6" s="6" t="inlineStr">
        <is>
          <t>m³</t>
        </is>
      </c>
      <c r="E6" s="32">
        <v>54.6</v>
      </c>
    </row>
    <row r="7">
      <c r="A7" s="6">
        <v>4</v>
      </c>
      <c r="B7" s="4" t="inlineStr">
        <is>
          <t>Superstructure</t>
        </is>
      </c>
      <c r="C7" s="4" t="inlineStr">
        <is>
          <t>Beams &amp; slabs L1–L3, M300</t>
        </is>
      </c>
      <c r="D7" s="6" t="inlineStr">
        <is>
          <t>m³</t>
        </is>
      </c>
      <c r="E7" s="32">
        <v>193.5</v>
      </c>
    </row>
    <row r="8" hidden="1">
      <c r="A8" s="6">
        <v>5</v>
      </c>
      <c r="B8" s="4" t="inlineStr">
        <is>
          <t>Substructure</t>
        </is>
      </c>
      <c r="C8" s="4" t="inlineStr">
        <is>
          <t>Footing formwork</t>
        </is>
      </c>
      <c r="D8" s="6" t="inlineStr">
        <is>
          <t>m²</t>
        </is>
      </c>
      <c r="E8" s="32">
        <v>864</v>
      </c>
    </row>
    <row r="9">
      <c r="A9" s="6">
        <v>6</v>
      </c>
      <c r="B9" s="4" t="inlineStr">
        <is>
          <t>Superstructure</t>
        </is>
      </c>
      <c r="C9" s="4" t="inlineStr">
        <is>
          <t>Rebar to columns, beams, slabs CB400-V</t>
        </is>
      </c>
      <c r="D9" s="6" t="inlineStr">
        <is>
          <t>t</t>
        </is>
      </c>
      <c r="E9" s="32">
        <v>38.9</v>
      </c>
    </row>
    <row r="10">
      <c r="A10" s="6">
        <v>7</v>
      </c>
      <c r="B10" s="4" t="inlineStr">
        <is>
          <t>Superstructure</t>
        </is>
      </c>
      <c r="C10" s="4" t="inlineStr">
        <is>
          <t>Formwork to columns, beams, slabs</t>
        </is>
      </c>
      <c r="D10" s="6" t="inlineStr">
        <is>
          <t>m²</t>
        </is>
      </c>
      <c r="E10" s="32">
        <v>1820</v>
      </c>
    </row>
    <row r="11" hidden="1">
      <c r="A11" s="6">
        <v>8</v>
      </c>
      <c r="B11" s="4" t="inlineStr">
        <is>
          <t>Substructure</t>
        </is>
      </c>
      <c r="C11" s="4" t="inlineStr">
        <is>
          <t>Backfill to K95</t>
        </is>
      </c>
      <c r="D11" s="6" t="inlineStr">
        <is>
          <t>m³</t>
        </is>
      </c>
      <c r="E11" s="32">
        <v>640</v>
      </c>
    </row>
  </sheetData>
  <hyperlinks>
    <hyperlink ref="G1" location="'Index'!A125" display="← Index"/>
  </hyperlink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G11"/>
  <sheetViews>
    <sheetView workbookViewId="0">
      <selection activeCell="C3" sqref="C3"/>
    </sheetView>
  </sheetViews>
  <sheetFormatPr defaultRowHeight="15"/>
  <cols>
    <col min="1" max="1" width="10.00" customWidth="1"/>
    <col min="2" max="2" width="26.00" customWidth="1"/>
    <col min="3" max="3" width="8.00" customWidth="1"/>
    <col min="4" max="4" width="6.00" customWidth="1"/>
    <col min="5" max="5" width="13.00" customWidth="1"/>
    <col min="7" max="7" width="12.00" customWidth="1"/>
  </cols>
  <sheetData>
    <row r="1">
      <c r="A1" s="1" t="inlineStr">
        <is>
          <t>ACCEPTED QUANTITIES — SUPERSTRUCTURE</t>
        </is>
      </c>
      <c r="G1" s="106" t="inlineStr">
        <is>
          <t>← Index</t>
        </is>
      </c>
    </row>
    <row r="3">
      <c r="A3" s="3" t="inlineStr">
        <is>
          <t>Mark</t>
        </is>
      </c>
      <c r="B3" s="3" t="inlineStr">
        <is>
          <t>Member</t>
        </is>
      </c>
      <c r="C3" s="3" t="inlineStr">
        <is>
          <t>Level</t>
        </is>
      </c>
      <c r="D3" s="3" t="inlineStr">
        <is>
          <t>Unit</t>
        </is>
      </c>
      <c r="E3" s="3" t="inlineStr">
        <is>
          <t>Actual qty</t>
        </is>
      </c>
    </row>
    <row r="4" hidden="1">
      <c r="A4" s="4" t="inlineStr">
        <is>
          <t>C4-01</t>
        </is>
      </c>
      <c r="B4" s="4" t="inlineStr">
        <is>
          <t>Column grid A-1</t>
        </is>
      </c>
      <c r="C4" s="6" t="inlineStr">
        <is>
          <t>Level 4</t>
        </is>
      </c>
      <c r="D4" s="6" t="inlineStr">
        <is>
          <t>m³</t>
        </is>
      </c>
      <c r="E4" s="4"/>
    </row>
    <row r="5">
      <c r="A5" s="4" t="inlineStr">
        <is>
          <t>C5-01</t>
        </is>
      </c>
      <c r="B5" s="4" t="inlineStr">
        <is>
          <t>Column grid A-1</t>
        </is>
      </c>
      <c r="C5" s="6" t="inlineStr">
        <is>
          <t>Level 5</t>
        </is>
      </c>
      <c r="D5" s="6" t="inlineStr">
        <is>
          <t>m³</t>
        </is>
      </c>
      <c r="E5" s="4"/>
    </row>
    <row r="6" hidden="1">
      <c r="A6" s="4" t="inlineStr">
        <is>
          <t>C4-02</t>
        </is>
      </c>
      <c r="B6" s="4" t="inlineStr">
        <is>
          <t>Column grid A-2</t>
        </is>
      </c>
      <c r="C6" s="6" t="inlineStr">
        <is>
          <t>Level 4</t>
        </is>
      </c>
      <c r="D6" s="6" t="inlineStr">
        <is>
          <t>m³</t>
        </is>
      </c>
      <c r="E6" s="4"/>
    </row>
    <row r="7">
      <c r="A7" s="4" t="inlineStr">
        <is>
          <t>C5-02</t>
        </is>
      </c>
      <c r="B7" s="4" t="inlineStr">
        <is>
          <t>Column grid A-2</t>
        </is>
      </c>
      <c r="C7" s="6" t="inlineStr">
        <is>
          <t>Level 5</t>
        </is>
      </c>
      <c r="D7" s="6" t="inlineStr">
        <is>
          <t>m³</t>
        </is>
      </c>
      <c r="E7" s="4"/>
    </row>
    <row r="8" hidden="1">
      <c r="A8" s="4" t="inlineStr">
        <is>
          <t>D4-01</t>
        </is>
      </c>
      <c r="B8" s="4" t="inlineStr">
        <is>
          <t>Beam grid A, bay 1–2</t>
        </is>
      </c>
      <c r="C8" s="6" t="inlineStr">
        <is>
          <t>Level 4</t>
        </is>
      </c>
      <c r="D8" s="6" t="inlineStr">
        <is>
          <t>m³</t>
        </is>
      </c>
      <c r="E8" s="4"/>
    </row>
    <row r="9">
      <c r="A9" s="4" t="inlineStr">
        <is>
          <t>D5-01</t>
        </is>
      </c>
      <c r="B9" s="4" t="inlineStr">
        <is>
          <t>Beam grid A, bay 1–2</t>
        </is>
      </c>
      <c r="C9" s="6" t="inlineStr">
        <is>
          <t>Level 5</t>
        </is>
      </c>
      <c r="D9" s="6" t="inlineStr">
        <is>
          <t>m³</t>
        </is>
      </c>
      <c r="E9" s="4"/>
    </row>
    <row r="10" hidden="1">
      <c r="A10" s="4" t="inlineStr">
        <is>
          <t>S4-01</t>
        </is>
      </c>
      <c r="B10" s="4" t="inlineStr">
        <is>
          <t>Slab panel S1</t>
        </is>
      </c>
      <c r="C10" s="6" t="inlineStr">
        <is>
          <t>Level 4</t>
        </is>
      </c>
      <c r="D10" s="6" t="inlineStr">
        <is>
          <t>m³</t>
        </is>
      </c>
      <c r="E10" s="4"/>
    </row>
    <row r="11">
      <c r="A11" s="4" t="inlineStr">
        <is>
          <t>S5-01</t>
        </is>
      </c>
      <c r="B11" s="4" t="inlineStr">
        <is>
          <t>Slab panel S1</t>
        </is>
      </c>
      <c r="C11" s="6" t="inlineStr">
        <is>
          <t>Level 5</t>
        </is>
      </c>
      <c r="D11" s="6" t="inlineStr">
        <is>
          <t>m³</t>
        </is>
      </c>
      <c r="E11" s="4"/>
    </row>
  </sheetData>
  <hyperlinks>
    <hyperlink ref="G1" location="'Index'!A126" display="← Index"/>
  </hyperlink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G4"/>
  <sheetViews>
    <sheetView workbookViewId="0">
      <selection activeCell="B2" sqref="B2:B4"/>
    </sheetView>
  </sheetViews>
  <sheetFormatPr defaultRowHeight="15"/>
  <cols>
    <col min="1" max="1" width="4.00" customWidth="1"/>
    <col min="2" max="2" width="11.00" customWidth="1"/>
    <col min="3" max="3" width="38.00" customWidth="1"/>
    <col min="4" max="4" width="3.00" customWidth="1"/>
    <col min="5" max="5" width="24.00" customWidth="1"/>
    <col min="7" max="7" width="12.00" customWidth="1"/>
  </cols>
  <sheetData>
    <row r="1">
      <c r="A1" s="3" t="inlineStr">
        <is>
          <t>TT</t>
        </is>
      </c>
      <c r="B1" s="3" t="inlineStr">
        <is>
          <t>Sheet code</t>
        </is>
      </c>
      <c r="C1" s="3" t="inlineStr">
        <is>
          <t>Form</t>
        </is>
      </c>
      <c r="E1" s="3" t="inlineStr">
        <is>
          <t>Sheets to print</t>
        </is>
      </c>
      <c r="G1" s="106" t="inlineStr">
        <is>
          <t>← Index</t>
        </is>
      </c>
    </row>
    <row r="2">
      <c r="A2" s="6">
        <v>1</v>
      </c>
      <c r="B2" s="4" t="inlineStr">
        <is>
          <t>YCNTCV</t>
        </is>
      </c>
      <c r="C2" s="4" t="inlineStr">
        <is>
          <t>Request for work inspection</t>
        </is>
      </c>
      <c r="E2" s="4"/>
    </row>
    <row r="3">
      <c r="A3" s="6">
        <v>2</v>
      </c>
      <c r="B3" s="4" t="inlineStr">
        <is>
          <t>BBNTCV</t>
        </is>
      </c>
      <c r="C3" s="4" t="inlineStr">
        <is>
          <t>Construction work acceptance record</t>
        </is>
      </c>
    </row>
    <row r="4">
      <c r="A4" s="6">
        <v>3</v>
      </c>
      <c r="B4" s="4" t="inlineStr">
        <is>
          <t>KT_DD</t>
        </is>
      </c>
      <c r="C4" s="4" t="inlineStr">
        <is>
          <t>Dimensional survey check sheet</t>
        </is>
      </c>
    </row>
  </sheetData>
  <hyperlinks>
    <hyperlink ref="G1" location="'Index'!A127" display="← Index"/>
  </hyperlink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H6"/>
  <sheetViews>
    <sheetView workbookViewId="0">
      <selection activeCell="B4" sqref="B4:D5"/>
    </sheetView>
  </sheetViews>
  <sheetFormatPr defaultRowHeight="15"/>
  <cols>
    <col min="1" max="1" width="17.00" customWidth="1"/>
    <col min="2" max="2" width="12.00" customWidth="1"/>
    <col min="3" max="3" width="12.00" customWidth="1"/>
    <col min="4" max="4" width="12.00" customWidth="1"/>
    <col min="5" max="5" width="3.00" customWidth="1"/>
    <col min="6" max="6" width="16.00" customWidth="1"/>
    <col min="8" max="8" width="12.00" customWidth="1"/>
  </cols>
  <sheetData>
    <row r="1">
      <c r="A1" s="29" t="inlineStr">
        <is>
          <t>WORK ACCEPTANCE RECORD</t>
        </is>
      </c>
      <c r="H1" s="106" t="inlineStr">
        <is>
          <t>← Index</t>
        </is>
      </c>
    </row>
    <row r="3">
      <c r="A3" s="25" t="inlineStr">
        <is>
          <t>Project:</t>
        </is>
      </c>
      <c r="B3" s="4" t="inlineStr">
        <is>
          <t>9-storey office building</t>
        </is>
      </c>
      <c r="C3" s="4"/>
      <c r="D3" s="4"/>
      <c r="F3" s="3" t="inlineStr">
        <is>
          <t>Cells to swap</t>
        </is>
      </c>
    </row>
    <row r="4">
      <c r="A4" s="25" t="inlineStr">
        <is>
          <t>Work item:</t>
        </is>
      </c>
      <c r="B4" s="4" t="inlineStr">
        <is>
          <t>Footing concrete M1, M2</t>
        </is>
      </c>
      <c r="C4" s="4"/>
      <c r="D4" s="4"/>
      <c r="F4" s="4"/>
    </row>
    <row r="5">
      <c r="A5" s="25" t="inlineStr">
        <is>
          <t>Location:</t>
        </is>
      </c>
      <c r="B5" s="4" t="inlineStr">
        <is>
          <t>Grid 1–3 / A–C</t>
        </is>
      </c>
      <c r="C5" s="4"/>
      <c r="D5" s="4"/>
    </row>
    <row r="6">
      <c r="A6" s="25" t="inlineStr">
        <is>
          <t>Inspection date:</t>
        </is>
      </c>
      <c r="B6" s="55">
        <v>46303</v>
      </c>
      <c r="C6" s="4"/>
      <c r="D6" s="4"/>
    </row>
  </sheetData>
  <mergeCells count="5">
    <mergeCell ref="A1:D1"/>
    <mergeCell ref="B3:D3"/>
    <mergeCell ref="B4:D4"/>
    <mergeCell ref="B5:D5"/>
    <mergeCell ref="B6:D6"/>
  </mergeCells>
  <hyperlinks>
    <hyperlink ref="H1" location="'Index'!A128" display="← Index"/>
  </hyperlink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G7"/>
  <sheetViews>
    <sheetView workbookViewId="0">
      <selection activeCell="E6" sqref="E6"/>
    </sheetView>
  </sheetViews>
  <sheetFormatPr defaultRowHeight="15"/>
  <cols>
    <col min="1" max="1" width="4.00" customWidth="1"/>
    <col min="2" max="2" width="10.00" customWidth="1"/>
    <col min="3" max="3" width="30.00" customWidth="1"/>
    <col min="4" max="4" width="7.00" customWidth="1"/>
    <col min="5" max="5" width="11.00" customWidth="1"/>
    <col min="7" max="7" width="12.00" customWidth="1"/>
  </cols>
  <sheetData>
    <row r="1">
      <c r="A1" s="1" t="inlineStr">
        <is>
          <t>LEVEL 5 QUANTITY SUMMARY</t>
        </is>
      </c>
      <c r="G1" s="106" t="inlineStr">
        <is>
          <t>← Index</t>
        </is>
      </c>
    </row>
    <row r="3">
      <c r="A3" s="3" t="inlineStr">
        <is>
          <t>No.</t>
        </is>
      </c>
      <c r="B3" s="3" t="inlineStr">
        <is>
          <t>Code</t>
        </is>
      </c>
      <c r="C3" s="3" t="inlineStr">
        <is>
          <t>Work item</t>
        </is>
      </c>
      <c r="D3" s="3" t="inlineStr">
        <is>
          <t>Unit</t>
        </is>
      </c>
      <c r="E3" s="3" t="inlineStr">
        <is>
          <t>Level 5</t>
        </is>
      </c>
    </row>
    <row r="4">
      <c r="A4" s="6">
        <v>1</v>
      </c>
      <c r="B4" s="4" t="inlineStr">
        <is>
          <t>AF.12315</t>
        </is>
      </c>
      <c r="C4" s="4" t="inlineStr">
        <is>
          <t>Column concrete M300</t>
        </is>
      </c>
      <c r="D4" s="6" t="inlineStr">
        <is>
          <t>m³</t>
        </is>
      </c>
      <c r="E4" s="37">
        <f>SUMIFS('KL Tang 5'!$H$5:$H$400,'KL Tang 5'!$C$5:$C$400,B4)</f>
        <v>18.46</v>
      </c>
    </row>
    <row r="5">
      <c r="A5" s="6">
        <v>2</v>
      </c>
      <c r="B5" s="4" t="inlineStr">
        <is>
          <t>AF.12415</t>
        </is>
      </c>
      <c r="C5" s="4" t="inlineStr">
        <is>
          <t>Beam and slab concrete M300</t>
        </is>
      </c>
      <c r="D5" s="6" t="inlineStr">
        <is>
          <t>m³</t>
        </is>
      </c>
      <c r="E5" s="37">
        <f>SUMIFS('KL Tang 5'!$H$5:$H$400,'KL Tang 5'!$C$5:$C$400,B5)</f>
        <v>96.8</v>
      </c>
    </row>
    <row r="6">
      <c r="A6" s="6">
        <v>3</v>
      </c>
      <c r="B6" s="4" t="inlineStr">
        <is>
          <t>AF.61531</t>
        </is>
      </c>
      <c r="C6" s="4" t="inlineStr">
        <is>
          <t>Beam and slab rebar d ≤ 18 mm</t>
        </is>
      </c>
      <c r="D6" s="6" t="inlineStr">
        <is>
          <t>t</t>
        </is>
      </c>
      <c r="E6" s="37">
        <f>SUMIFS('KL Tang 5'!$H$5:$H$400,'KL Tang 4'!$C$5:$C$400,B6)</f>
        <v>0.0</v>
      </c>
    </row>
    <row r="7">
      <c r="A7" s="6">
        <v>4</v>
      </c>
      <c r="B7" s="4" t="inlineStr">
        <is>
          <t>AF.86311</t>
        </is>
      </c>
      <c r="C7" s="4" t="inlineStr">
        <is>
          <t>Beam and slab formwork</t>
        </is>
      </c>
      <c r="D7" s="6" t="inlineStr">
        <is>
          <t>100m²</t>
        </is>
      </c>
      <c r="E7" s="37">
        <f>SUMIFS('KL Tang 5'!$H$5:$H$400,'KL Tang 5'!$C$5:$C$400,B7)</f>
        <v>7.92</v>
      </c>
    </row>
  </sheetData>
  <hyperlinks>
    <hyperlink ref="G1" location="'Index'!A129" display="← Index"/>
  </hyperlink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J13"/>
  <sheetViews>
    <sheetView workbookViewId="0"/>
  </sheetViews>
  <sheetFormatPr defaultRowHeight="15"/>
  <cols>
    <col min="1" max="1" width="5.00" customWidth="1"/>
    <col min="2" max="2" width="26.00" customWidth="1"/>
    <col min="3" max="3" width="11.00" customWidth="1"/>
    <col min="4" max="4" width="8.00" customWidth="1"/>
    <col min="8" max="8" width="11.00" customWidth="1"/>
    <col min="10" max="10" width="12.00" customWidth="1"/>
  </cols>
  <sheetData>
    <row r="1">
      <c r="A1" s="1" t="inlineStr">
        <is>
          <t>DETAILED QUANTITIES — LEVEL 4</t>
        </is>
      </c>
      <c r="J1" s="106" t="inlineStr">
        <is>
          <t>← Index</t>
        </is>
      </c>
    </row>
    <row r="4">
      <c r="A4" s="3" t="inlineStr">
        <is>
          <t>No.</t>
        </is>
      </c>
      <c r="B4" s="3" t="inlineStr">
        <is>
          <t>Description</t>
        </is>
      </c>
      <c r="C4" s="3" t="inlineStr">
        <is>
          <t>Code</t>
        </is>
      </c>
      <c r="D4" s="3" t="inlineStr">
        <is>
          <t>Unit</t>
        </is>
      </c>
      <c r="E4" s="4"/>
      <c r="F4" s="4"/>
      <c r="G4" s="4"/>
      <c r="H4" s="3" t="inlineStr">
        <is>
          <t>Quantity</t>
        </is>
      </c>
    </row>
    <row r="5">
      <c r="A5" s="4">
        <v>1</v>
      </c>
      <c r="B5" s="4" t="inlineStr">
        <is>
          <t>Columns grid A</t>
        </is>
      </c>
      <c r="C5" s="4" t="inlineStr">
        <is>
          <t>AF.12315</t>
        </is>
      </c>
      <c r="D5" s="4" t="inlineStr">
        <is>
          <t>m³</t>
        </is>
      </c>
      <c r="E5" s="4"/>
      <c r="F5" s="4"/>
      <c r="G5" s="4"/>
      <c r="H5" s="11">
        <v>9.1</v>
      </c>
    </row>
    <row r="6">
      <c r="A6" s="4">
        <v>2</v>
      </c>
      <c r="B6" s="4" t="inlineStr">
        <is>
          <t>Columns grid B</t>
        </is>
      </c>
      <c r="C6" s="4" t="inlineStr">
        <is>
          <t>AF.12315</t>
        </is>
      </c>
      <c r="D6" s="4" t="inlineStr">
        <is>
          <t>m³</t>
        </is>
      </c>
      <c r="E6" s="4"/>
      <c r="F6" s="4"/>
      <c r="G6" s="4"/>
      <c r="H6" s="11">
        <v>9.1</v>
      </c>
    </row>
    <row r="7">
      <c r="A7" s="4">
        <v>3</v>
      </c>
      <c r="B7" s="4" t="inlineStr">
        <is>
          <t>Beams &amp; slab zone 1</t>
        </is>
      </c>
      <c r="C7" s="4" t="inlineStr">
        <is>
          <t>AF.12415</t>
        </is>
      </c>
      <c r="D7" s="4" t="inlineStr">
        <is>
          <t>m³</t>
        </is>
      </c>
      <c r="E7" s="4"/>
      <c r="F7" s="4"/>
      <c r="G7" s="4"/>
      <c r="H7" s="11">
        <v>56.4</v>
      </c>
    </row>
    <row r="8">
      <c r="A8" s="4">
        <v>4</v>
      </c>
      <c r="B8" s="4" t="inlineStr">
        <is>
          <t>Beams &amp; slab zone 2</t>
        </is>
      </c>
      <c r="C8" s="4" t="inlineStr">
        <is>
          <t>AF.12415</t>
        </is>
      </c>
      <c r="D8" s="4" t="inlineStr">
        <is>
          <t>m³</t>
        </is>
      </c>
      <c r="E8" s="4"/>
      <c r="F8" s="4"/>
      <c r="G8" s="4"/>
      <c r="H8" s="11">
        <v>37.2</v>
      </c>
    </row>
    <row r="9">
      <c r="A9" s="4">
        <v>5</v>
      </c>
      <c r="B9" s="4" t="inlineStr">
        <is>
          <t>Lift core walls</t>
        </is>
      </c>
      <c r="C9" s="4" t="inlineStr">
        <is>
          <t>AF.12515</t>
        </is>
      </c>
      <c r="D9" s="4" t="inlineStr">
        <is>
          <t>m³</t>
        </is>
      </c>
      <c r="E9" s="4"/>
      <c r="F9" s="4"/>
      <c r="G9" s="4"/>
      <c r="H9" s="11">
        <v>12.6</v>
      </c>
    </row>
    <row r="10">
      <c r="A10" s="4">
        <v>6</v>
      </c>
      <c r="B10" s="4" t="inlineStr">
        <is>
          <t>Beam &amp; slab formwork</t>
        </is>
      </c>
      <c r="C10" s="4" t="inlineStr">
        <is>
          <t>AF.86311</t>
        </is>
      </c>
      <c r="D10" s="4" t="inlineStr">
        <is>
          <t>100m²</t>
        </is>
      </c>
      <c r="E10" s="4"/>
      <c r="F10" s="4"/>
      <c r="G10" s="4"/>
      <c r="H10" s="11">
        <v>7.64</v>
      </c>
    </row>
    <row r="11">
      <c r="A11" s="4">
        <v>7</v>
      </c>
      <c r="B11" s="4" t="inlineStr">
        <is>
          <t>Wall formwork</t>
        </is>
      </c>
      <c r="C11" s="4" t="inlineStr">
        <is>
          <t>AF.86411</t>
        </is>
      </c>
      <c r="D11" s="4" t="inlineStr">
        <is>
          <t>100m²</t>
        </is>
      </c>
      <c r="E11" s="4"/>
      <c r="F11" s="4"/>
      <c r="G11" s="4"/>
      <c r="H11" s="11">
        <v>2.18</v>
      </c>
    </row>
    <row r="12">
      <c r="A12" s="4">
        <v>8</v>
      </c>
      <c r="B12" s="4" t="inlineStr">
        <is>
          <t>Beam &amp; slab rebar zone 1</t>
        </is>
      </c>
      <c r="C12" s="4" t="inlineStr">
        <is>
          <t>AF.61531</t>
        </is>
      </c>
      <c r="D12" s="4" t="inlineStr">
        <is>
          <t>t</t>
        </is>
      </c>
      <c r="E12" s="4"/>
      <c r="F12" s="4"/>
      <c r="G12" s="4"/>
      <c r="H12" s="11">
        <v>5.9</v>
      </c>
    </row>
    <row r="13">
      <c r="A13" s="4">
        <v>9</v>
      </c>
      <c r="B13" s="4" t="inlineStr">
        <is>
          <t>Beam &amp; slab rebar zone 2</t>
        </is>
      </c>
      <c r="C13" s="4" t="inlineStr">
        <is>
          <t>AF.61531</t>
        </is>
      </c>
      <c r="D13" s="4" t="inlineStr">
        <is>
          <t>t</t>
        </is>
      </c>
      <c r="E13" s="4"/>
      <c r="F13" s="4"/>
      <c r="G13" s="4"/>
      <c r="H13" s="11">
        <v>3.55</v>
      </c>
    </row>
  </sheetData>
  <hyperlinks>
    <hyperlink ref="J1" location="'Index'!A129" display="← Index"/>
  </hyperlink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J11"/>
  <sheetViews>
    <sheetView workbookViewId="0"/>
  </sheetViews>
  <sheetFormatPr defaultRowHeight="15"/>
  <cols>
    <col min="1" max="1" width="5.00" customWidth="1"/>
    <col min="2" max="2" width="26.00" customWidth="1"/>
    <col min="3" max="3" width="11.00" customWidth="1"/>
    <col min="4" max="4" width="8.00" customWidth="1"/>
    <col min="8" max="8" width="11.00" customWidth="1"/>
    <col min="10" max="10" width="12.00" customWidth="1"/>
  </cols>
  <sheetData>
    <row r="1">
      <c r="A1" s="1" t="inlineStr">
        <is>
          <t>DETAILED QUANTITIES — LEVEL 5</t>
        </is>
      </c>
      <c r="J1" s="106" t="inlineStr">
        <is>
          <t>← Index</t>
        </is>
      </c>
    </row>
    <row r="4">
      <c r="A4" s="3" t="inlineStr">
        <is>
          <t>No.</t>
        </is>
      </c>
      <c r="B4" s="3" t="inlineStr">
        <is>
          <t>Description</t>
        </is>
      </c>
      <c r="C4" s="3" t="inlineStr">
        <is>
          <t>Code</t>
        </is>
      </c>
      <c r="D4" s="3" t="inlineStr">
        <is>
          <t>Unit</t>
        </is>
      </c>
      <c r="E4" s="4"/>
      <c r="F4" s="4"/>
      <c r="G4" s="4"/>
      <c r="H4" s="3" t="inlineStr">
        <is>
          <t>Quantity</t>
        </is>
      </c>
    </row>
    <row r="5">
      <c r="A5" s="4">
        <v>1</v>
      </c>
      <c r="B5" s="4" t="inlineStr">
        <is>
          <t>Columns grid A</t>
        </is>
      </c>
      <c r="C5" s="4" t="inlineStr">
        <is>
          <t>AF.12315</t>
        </is>
      </c>
      <c r="D5" s="4" t="inlineStr">
        <is>
          <t>m³</t>
        </is>
      </c>
      <c r="E5" s="4"/>
      <c r="F5" s="4"/>
      <c r="G5" s="4"/>
      <c r="H5" s="11">
        <v>9.23</v>
      </c>
    </row>
    <row r="6">
      <c r="A6" s="4">
        <v>2</v>
      </c>
      <c r="B6" s="4" t="inlineStr">
        <is>
          <t>Columns grid B</t>
        </is>
      </c>
      <c r="C6" s="4" t="inlineStr">
        <is>
          <t>AF.12315</t>
        </is>
      </c>
      <c r="D6" s="4" t="inlineStr">
        <is>
          <t>m³</t>
        </is>
      </c>
      <c r="E6" s="4"/>
      <c r="F6" s="4"/>
      <c r="G6" s="4"/>
      <c r="H6" s="11">
        <v>9.23</v>
      </c>
    </row>
    <row r="7">
      <c r="A7" s="4">
        <v>3</v>
      </c>
      <c r="B7" s="4" t="inlineStr">
        <is>
          <t>Beams &amp; slab zone 1</t>
        </is>
      </c>
      <c r="C7" s="4" t="inlineStr">
        <is>
          <t>AF.12415</t>
        </is>
      </c>
      <c r="D7" s="4" t="inlineStr">
        <is>
          <t>m³</t>
        </is>
      </c>
      <c r="E7" s="4"/>
      <c r="F7" s="4"/>
      <c r="G7" s="4"/>
      <c r="H7" s="11">
        <v>58.3</v>
      </c>
    </row>
    <row r="8">
      <c r="A8" s="4">
        <v>4</v>
      </c>
      <c r="B8" s="4" t="inlineStr">
        <is>
          <t>Beams &amp; slab zone 2</t>
        </is>
      </c>
      <c r="C8" s="4" t="inlineStr">
        <is>
          <t>AF.12415</t>
        </is>
      </c>
      <c r="D8" s="4" t="inlineStr">
        <is>
          <t>m³</t>
        </is>
      </c>
      <c r="E8" s="4"/>
      <c r="F8" s="4"/>
      <c r="G8" s="4"/>
      <c r="H8" s="11">
        <v>38.5</v>
      </c>
    </row>
    <row r="9">
      <c r="A9" s="4">
        <v>5</v>
      </c>
      <c r="B9" s="4" t="inlineStr">
        <is>
          <t>Beam &amp; slab rebar zone 1</t>
        </is>
      </c>
      <c r="C9" s="4" t="inlineStr">
        <is>
          <t>AF.61531</t>
        </is>
      </c>
      <c r="D9" s="4" t="inlineStr">
        <is>
          <t>t</t>
        </is>
      </c>
      <c r="E9" s="4"/>
      <c r="F9" s="4"/>
      <c r="G9" s="4"/>
      <c r="H9" s="11">
        <v>6.15</v>
      </c>
    </row>
    <row r="10">
      <c r="A10" s="4">
        <v>6</v>
      </c>
      <c r="B10" s="4" t="inlineStr">
        <is>
          <t>Beam &amp; slab rebar zone 2</t>
        </is>
      </c>
      <c r="C10" s="4" t="inlineStr">
        <is>
          <t>AF.61531</t>
        </is>
      </c>
      <c r="D10" s="4" t="inlineStr">
        <is>
          <t>t</t>
        </is>
      </c>
      <c r="E10" s="4"/>
      <c r="F10" s="4"/>
      <c r="G10" s="4"/>
      <c r="H10" s="11">
        <v>3.7</v>
      </c>
    </row>
    <row r="11">
      <c r="A11" s="4">
        <v>7</v>
      </c>
      <c r="B11" s="4" t="inlineStr">
        <is>
          <t>Beam &amp; slab formwork</t>
        </is>
      </c>
      <c r="C11" s="4" t="inlineStr">
        <is>
          <t>AF.86311</t>
        </is>
      </c>
      <c r="D11" s="4" t="inlineStr">
        <is>
          <t>100m²</t>
        </is>
      </c>
      <c r="E11" s="4"/>
      <c r="F11" s="4"/>
      <c r="G11" s="4"/>
      <c r="H11" s="11">
        <v>7.92</v>
      </c>
    </row>
  </sheetData>
  <hyperlinks>
    <hyperlink ref="J1" location="'Index'!A129" display="← Index"/>
  </hyperlink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H8"/>
  <sheetViews>
    <sheetView workbookViewId="0">
      <selection activeCell="F6" sqref="F6"/>
    </sheetView>
  </sheetViews>
  <sheetFormatPr defaultRowHeight="15"/>
  <cols>
    <col min="1" max="1" width="4.00" customWidth="1"/>
    <col min="2" max="2" width="10.00" customWidth="1"/>
    <col min="3" max="3" width="34.00" customWidth="1"/>
    <col min="4" max="4" width="7.00" customWidth="1"/>
    <col min="5" max="5" width="10.00" customWidth="1"/>
    <col min="6" max="6" width="12.00" customWidth="1"/>
    <col min="8" max="8" width="12.00" customWidth="1"/>
  </cols>
  <sheetData>
    <row r="1">
      <c r="A1" s="1" t="inlineStr">
        <is>
          <t>DETAILED ESTIMATE — FOUNDATIONS</t>
        </is>
      </c>
      <c r="H1" s="106" t="inlineStr">
        <is>
          <t>← Index</t>
        </is>
      </c>
    </row>
    <row r="3">
      <c r="A3" s="3" t="inlineStr">
        <is>
          <t>No.</t>
        </is>
      </c>
      <c r="B3" s="3" t="inlineStr">
        <is>
          <t>Code</t>
        </is>
      </c>
      <c r="C3" s="3" t="inlineStr">
        <is>
          <t>Work item</t>
        </is>
      </c>
      <c r="D3" s="3" t="inlineStr">
        <is>
          <t>Unit</t>
        </is>
      </c>
      <c r="E3" s="3" t="inlineStr">
        <is>
          <t>Quantity</t>
        </is>
      </c>
      <c r="F3" s="3" t="inlineStr">
        <is>
          <t>Unit rate</t>
        </is>
      </c>
    </row>
    <row r="4">
      <c r="A4" s="6">
        <v>1</v>
      </c>
      <c r="B4" s="4" t="inlineStr">
        <is>
          <t>AB.11213</t>
        </is>
      </c>
      <c r="C4" s="4" t="inlineStr">
        <is>
          <t>Manual excavation, soil grade III</t>
        </is>
      </c>
      <c r="D4" s="6" t="inlineStr">
        <is>
          <t>m³</t>
        </is>
      </c>
      <c r="E4" s="37">
        <v>42.5</v>
      </c>
      <c r="F4" s="15">
        <f>VLOOKUP(B4,RATES!$A$5:$D$400,4,0)</f>
        <v>285000.0</v>
      </c>
    </row>
    <row r="5">
      <c r="A5" s="6">
        <v>2</v>
      </c>
      <c r="B5" s="4" t="inlineStr">
        <is>
          <t>AF.11120</t>
        </is>
      </c>
      <c r="C5" s="4" t="inlineStr">
        <is>
          <t>Blinding concrete M100, 4x6 stone</t>
        </is>
      </c>
      <c r="D5" s="6" t="inlineStr">
        <is>
          <t>m³</t>
        </is>
      </c>
      <c r="E5" s="37">
        <v>12.4</v>
      </c>
      <c r="F5" s="15">
        <f>VLOOKUP(B5,RATES!$A$5:$D$400,4,0)</f>
        <v>1320000.0</v>
      </c>
    </row>
    <row r="6">
      <c r="A6" s="6">
        <v>3</v>
      </c>
      <c r="B6" s="4" t="inlineStr">
        <is>
          <t>AF.11220</t>
        </is>
      </c>
      <c r="C6" s="4" t="inlineStr">
        <is>
          <t>Footing concrete M250, 1x2 stone</t>
        </is>
      </c>
      <c r="D6" s="6" t="inlineStr">
        <is>
          <t>m³</t>
        </is>
      </c>
      <c r="E6" s="37">
        <v>86.5</v>
      </c>
      <c r="F6" s="15">
        <f>VLOOKUP(B6,RATES!$A$5:$D$400,4,0)</f>
        <v>1850000.0</v>
      </c>
    </row>
    <row r="7">
      <c r="A7" s="6">
        <v>4</v>
      </c>
      <c r="B7" s="4" t="inlineStr">
        <is>
          <t>AF.61120</t>
        </is>
      </c>
      <c r="C7" s="4" t="inlineStr">
        <is>
          <t>Footing rebar d ≤ 18 mm</t>
        </is>
      </c>
      <c r="D7" s="6" t="inlineStr">
        <is>
          <t>t</t>
        </is>
      </c>
      <c r="E7" s="37">
        <v>7.85</v>
      </c>
      <c r="F7" s="15">
        <f>VLOOKUP(B7,RATES!$A$5:$D$400,4,0)</f>
        <v>21500000.0</v>
      </c>
    </row>
    <row r="8">
      <c r="A8" s="6">
        <v>5</v>
      </c>
      <c r="B8" s="4" t="inlineStr">
        <is>
          <t>AF.81122</t>
        </is>
      </c>
      <c r="C8" s="4" t="inlineStr">
        <is>
          <t>Footing formwork</t>
        </is>
      </c>
      <c r="D8" s="6" t="inlineStr">
        <is>
          <t>100m²</t>
        </is>
      </c>
      <c r="E8" s="37">
        <v>2.1</v>
      </c>
      <c r="F8" s="15">
        <f>VLOOKUP(B8,RATES!$A$5:$D$400,4,0)</f>
        <v>6240000.0</v>
      </c>
    </row>
  </sheetData>
  <hyperlinks>
    <hyperlink ref="H1" location="'Index'!A130" display="← Index"/>
  </hyperlink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F10"/>
  <sheetViews>
    <sheetView workbookViewId="0">
      <selection activeCell="D8" sqref="D8"/>
    </sheetView>
  </sheetViews>
  <sheetFormatPr defaultRowHeight="15"/>
  <cols>
    <col min="1" max="1" width="10.00" customWidth="1"/>
    <col min="2" max="2" width="34.00" customWidth="1"/>
    <col min="3" max="3" width="7.00" customWidth="1"/>
    <col min="4" max="4" width="12.00" customWidth="1"/>
    <col min="6" max="6" width="12.00" customWidth="1"/>
  </cols>
  <sheetData>
    <row r="1">
      <c r="A1" s="1" t="inlineStr">
        <is>
          <t>DETAILED UNIT RATES</t>
        </is>
      </c>
      <c r="F1" s="106" t="inlineStr">
        <is>
          <t>← Index</t>
        </is>
      </c>
    </row>
    <row r="2">
      <c r="A2" s="48" t="inlineStr">
        <is>
          <t>Project: 9-storey office building</t>
        </is>
      </c>
    </row>
    <row r="4">
      <c r="A4" s="56" t="inlineStr">
        <is>
          <t>Code</t>
        </is>
      </c>
      <c r="B4" s="56" t="inlineStr">
        <is>
          <t>Work item</t>
        </is>
      </c>
      <c r="C4" s="56" t="inlineStr">
        <is>
          <t>Unit</t>
        </is>
      </c>
      <c r="D4" s="56" t="inlineStr">
        <is>
          <t>Unit rate</t>
        </is>
      </c>
    </row>
    <row r="5">
      <c r="A5" s="4" t="inlineStr">
        <is>
          <t>AB.11213</t>
        </is>
      </c>
      <c r="B5" s="4" t="inlineStr">
        <is>
          <t>Manual excavation, soil grade III</t>
        </is>
      </c>
      <c r="C5" s="6" t="inlineStr">
        <is>
          <t>m³</t>
        </is>
      </c>
      <c r="D5" s="15">
        <v>285000</v>
      </c>
    </row>
    <row r="6">
      <c r="A6" s="4" t="inlineStr">
        <is>
          <t>AF.11120</t>
        </is>
      </c>
      <c r="B6" s="4" t="inlineStr">
        <is>
          <t>Blinding concrete M100</t>
        </is>
      </c>
      <c r="C6" s="6" t="inlineStr">
        <is>
          <t>m³</t>
        </is>
      </c>
      <c r="D6" s="15">
        <v>1320000</v>
      </c>
    </row>
    <row r="7">
      <c r="A7" s="4" t="inlineStr">
        <is>
          <t>AF.11210</t>
        </is>
      </c>
      <c r="B7" s="4" t="inlineStr">
        <is>
          <t>Footing concrete M200</t>
        </is>
      </c>
      <c r="C7" s="6" t="inlineStr">
        <is>
          <t>m³</t>
        </is>
      </c>
      <c r="D7" s="15">
        <v>1710000</v>
      </c>
    </row>
    <row r="8">
      <c r="A8" s="4" t="inlineStr">
        <is>
          <t>AF.11220</t>
        </is>
      </c>
      <c r="B8" s="4" t="inlineStr">
        <is>
          <t>Footing concrete M250</t>
        </is>
      </c>
      <c r="C8" s="6" t="inlineStr">
        <is>
          <t>m³</t>
        </is>
      </c>
      <c r="D8" s="15">
        <v>1850000</v>
      </c>
    </row>
    <row r="9">
      <c r="A9" s="4" t="inlineStr">
        <is>
          <t>AF.61120</t>
        </is>
      </c>
      <c r="B9" s="4" t="inlineStr">
        <is>
          <t>Footing rebar d ≤ 18 mm</t>
        </is>
      </c>
      <c r="C9" s="6" t="inlineStr">
        <is>
          <t>t</t>
        </is>
      </c>
      <c r="D9" s="15">
        <v>21500000</v>
      </c>
    </row>
    <row r="10">
      <c r="A10" s="4" t="inlineStr">
        <is>
          <t>AF.81122</t>
        </is>
      </c>
      <c r="B10" s="4" t="inlineStr">
        <is>
          <t>Footing formwork</t>
        </is>
      </c>
      <c r="C10" s="6" t="inlineStr">
        <is>
          <t>100m²</t>
        </is>
      </c>
      <c r="D10" s="15">
        <v>6240000</v>
      </c>
    </row>
  </sheetData>
  <hyperlinks>
    <hyperlink ref="F1" location="'Index'!A130" display="← Index"/>
  </hyperlink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F6"/>
  <sheetViews>
    <sheetView workbookViewId="0">
      <selection activeCell="C4" sqref="C4"/>
    </sheetView>
  </sheetViews>
  <sheetFormatPr defaultRowHeight="15"/>
  <cols>
    <col min="1" max="1" width="5.00" customWidth="1"/>
    <col min="2" max="2" width="34.00" customWidth="1"/>
    <col min="3" max="3" width="10.00" customWidth="1"/>
    <col min="4" max="4" width="9.00" customWidth="1"/>
    <col min="6" max="6" width="12.00" customWidth="1"/>
  </cols>
  <sheetData>
    <row r="1">
      <c r="A1" s="1" t="inlineStr">
        <is>
          <t>SCHEDULE CALCULATION PARAMETERS</t>
        </is>
      </c>
      <c r="F1" s="106" t="inlineStr">
        <is>
          <t>← Index</t>
        </is>
      </c>
    </row>
    <row r="3">
      <c r="A3" s="3" t="inlineStr">
        <is>
          <t>No.</t>
        </is>
      </c>
      <c r="B3" s="3" t="inlineStr">
        <is>
          <t>Parameter</t>
        </is>
      </c>
      <c r="C3" s="3" t="inlineStr">
        <is>
          <t>Value</t>
        </is>
      </c>
      <c r="D3" s="3" t="inlineStr">
        <is>
          <t>Unit</t>
        </is>
      </c>
    </row>
    <row r="4">
      <c r="A4" s="6">
        <v>1</v>
      </c>
      <c r="B4" s="4" t="inlineStr">
        <is>
          <t>Machine-shift factor</t>
        </is>
      </c>
      <c r="C4" s="37">
        <v>1.15</v>
      </c>
      <c r="D4" s="6" t="inlineStr">
        <is>
          <t>-</t>
        </is>
      </c>
    </row>
    <row r="5">
      <c r="A5" s="6">
        <v>2</v>
      </c>
      <c r="B5" s="4" t="inlineStr">
        <is>
          <t>Labour factor</t>
        </is>
      </c>
      <c r="C5" s="37">
        <v>1.05</v>
      </c>
      <c r="D5" s="6" t="inlineStr">
        <is>
          <t>-</t>
        </is>
      </c>
    </row>
    <row r="6">
      <c r="A6" s="6">
        <v>3</v>
      </c>
      <c r="B6" s="4" t="inlineStr">
        <is>
          <t>Working hours per shift</t>
        </is>
      </c>
      <c r="C6" s="14">
        <v>8</v>
      </c>
      <c r="D6" s="6" t="inlineStr">
        <is>
          <t>h</t>
        </is>
      </c>
    </row>
  </sheetData>
  <hyperlinks>
    <hyperlink ref="F1" location="'Index'!A131" display="← Index"/>
  </hyperlink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F11"/>
  <sheetViews>
    <sheetView workbookViewId="0">
      <selection activeCell="A4" sqref="A4:A11"/>
    </sheetView>
  </sheetViews>
  <sheetFormatPr defaultRowHeight="15"/>
  <cols>
    <col min="1" max="1" width="13.00" customWidth="1"/>
    <col min="2" max="2" width="34.00" customWidth="1"/>
    <col min="3" max="3" width="7.00" customWidth="1"/>
    <col min="4" max="4" width="12.00" customWidth="1"/>
    <col min="6" max="6" width="12.00" customWidth="1"/>
  </cols>
  <sheetData>
    <row r="1">
      <c r="A1" s="1" t="inlineStr">
        <is>
          <t>STRUCTURAL CONCRETE QUANTITIES — 9-STOREY OFFICE BUILDING</t>
        </is>
      </c>
      <c r="F1" s="106" t="inlineStr">
        <is>
          <t>← Index</t>
        </is>
      </c>
    </row>
    <row r="3">
      <c r="A3" s="3" t="inlineStr">
        <is>
          <t>Section</t>
        </is>
      </c>
      <c r="B3" s="3" t="inlineStr">
        <is>
          <t>Work item</t>
        </is>
      </c>
      <c r="C3" s="3" t="inlineStr">
        <is>
          <t>Unit</t>
        </is>
      </c>
      <c r="D3" s="3" t="inlineStr">
        <is>
          <t>Quantity</t>
        </is>
      </c>
    </row>
    <row r="4">
      <c r="A4" s="25" t="inlineStr">
        <is>
          <t>FOUNDATION</t>
        </is>
      </c>
      <c r="B4" s="4"/>
      <c r="C4" s="4"/>
      <c r="D4" s="4"/>
    </row>
    <row r="5">
      <c r="A5" s="4"/>
      <c r="B5" s="4" t="inlineStr">
        <is>
          <t>Blinding concrete M100</t>
        </is>
      </c>
      <c r="C5" s="6" t="inlineStr">
        <is>
          <t>m³</t>
        </is>
      </c>
      <c r="D5" s="37">
        <v>12.4</v>
      </c>
    </row>
    <row r="6">
      <c r="A6" s="4"/>
      <c r="B6" s="4" t="inlineStr">
        <is>
          <t>Footing concrete M250</t>
        </is>
      </c>
      <c r="C6" s="6" t="inlineStr">
        <is>
          <t>m³</t>
        </is>
      </c>
      <c r="D6" s="37">
        <v>86.5</v>
      </c>
    </row>
    <row r="7">
      <c r="A7" s="4"/>
      <c r="B7" s="4" t="inlineStr">
        <is>
          <t>Ground beam concrete M250</t>
        </is>
      </c>
      <c r="C7" s="6" t="inlineStr">
        <is>
          <t>m³</t>
        </is>
      </c>
      <c r="D7" s="37">
        <v>18.3</v>
      </c>
    </row>
    <row r="8">
      <c r="A8" s="25" t="inlineStr">
        <is>
          <t>FRAME</t>
        </is>
      </c>
      <c r="B8" s="4"/>
      <c r="C8" s="4"/>
      <c r="D8" s="4"/>
    </row>
    <row r="9">
      <c r="A9" s="4"/>
      <c r="B9" s="4" t="inlineStr">
        <is>
          <t>Level 1 column concrete M300</t>
        </is>
      </c>
      <c r="C9" s="6" t="inlineStr">
        <is>
          <t>m³</t>
        </is>
      </c>
      <c r="D9" s="37">
        <v>34.2</v>
      </c>
    </row>
    <row r="10">
      <c r="A10" s="4"/>
      <c r="B10" s="4" t="inlineStr">
        <is>
          <t>Level 2 beam and slab concrete M300</t>
        </is>
      </c>
      <c r="C10" s="6" t="inlineStr">
        <is>
          <t>m³</t>
        </is>
      </c>
      <c r="D10" s="37">
        <v>96.8</v>
      </c>
    </row>
    <row r="11">
      <c r="A11" s="4"/>
      <c r="B11" s="4" t="inlineStr">
        <is>
          <t>Staircase concrete M300</t>
        </is>
      </c>
      <c r="C11" s="6" t="inlineStr">
        <is>
          <t>m³</t>
        </is>
      </c>
      <c r="D11" s="37">
        <v>6.45</v>
      </c>
    </row>
  </sheetData>
  <hyperlinks>
    <hyperlink ref="F1" location="'Index'!A132" display="← Index"/>
  </hyperlink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F7"/>
  <sheetViews>
    <sheetView workbookViewId="0">
      <selection activeCell="B4" sqref="B4:B7"/>
    </sheetView>
  </sheetViews>
  <sheetFormatPr defaultRowHeight="15"/>
  <cols>
    <col min="1" max="1" width="4.00" customWidth="1"/>
    <col min="2" max="2" width="46.00" customWidth="1"/>
    <col min="3" max="3" width="7.00" customWidth="1"/>
    <col min="4" max="4" width="11.00" customWidth="1"/>
    <col min="6" max="6" width="12.00" customWidth="1"/>
  </cols>
  <sheetData>
    <row r="1">
      <c r="A1" s="1" t="inlineStr">
        <is>
          <t>FOUNDATION TAKE-OFF — 9-STOREY OFFICE BUILDING</t>
        </is>
      </c>
      <c r="F1" s="106" t="inlineStr">
        <is>
          <t>← Index</t>
        </is>
      </c>
    </row>
    <row r="3">
      <c r="A3" s="3" t="inlineStr">
        <is>
          <t>No.</t>
        </is>
      </c>
      <c r="B3" s="3" t="inlineStr">
        <is>
          <t>Description</t>
        </is>
      </c>
      <c r="C3" s="3" t="inlineStr">
        <is>
          <t>Unit</t>
        </is>
      </c>
      <c r="D3" s="3" t="inlineStr">
        <is>
          <t>Quantity</t>
        </is>
      </c>
    </row>
    <row r="4">
      <c r="A4" s="6">
        <v>1</v>
      </c>
      <c r="B4" s="4" t="inlineStr">
        <is>
          <t>Footing pits F1: 4 pits x 2.5 x 2.5 x 1.6</t>
        </is>
      </c>
      <c r="C4" s="6" t="inlineStr">
        <is>
          <t>m³</t>
        </is>
      </c>
      <c r="D4" s="37">
        <v>40</v>
      </c>
    </row>
    <row r="5">
      <c r="A5" s="6">
        <v>2</v>
      </c>
      <c r="B5" s="4" t="inlineStr">
        <is>
          <t>Ground beams: 2 x 18.4 x 0.4 x 0.5</t>
        </is>
      </c>
      <c r="C5" s="6" t="inlineStr">
        <is>
          <t>m³</t>
        </is>
      </c>
      <c r="D5" s="37">
        <v>7.36</v>
      </c>
    </row>
    <row r="6">
      <c r="A6" s="6">
        <v>3</v>
      </c>
      <c r="B6" s="4" t="inlineStr">
        <is>
          <t>Blinding: 4 x 2.7 x 2.7 x 0.1</t>
        </is>
      </c>
      <c r="C6" s="6" t="inlineStr">
        <is>
          <t>m³</t>
        </is>
      </c>
      <c r="D6" s="37">
        <v>2.92</v>
      </c>
    </row>
    <row r="7">
      <c r="A7" s="6">
        <v>4</v>
      </c>
      <c r="B7" s="4" t="inlineStr">
        <is>
          <t>Column stubs C1: 4 x 0.3 x 0.3 x 1.2</t>
        </is>
      </c>
      <c r="C7" s="6" t="inlineStr">
        <is>
          <t>m³</t>
        </is>
      </c>
      <c r="D7" s="37">
        <v>0.43</v>
      </c>
    </row>
  </sheetData>
  <hyperlinks>
    <hyperlink ref="F1" location="'Index'!A133" display="← Index"/>
  </hyperlinks>
  <pageMargins left="0.7" right="0.7" top="0.75" bottom="0.75" header="0.3" footer="0.3"/>
</worksheet>
</file>

<file path=xl/worksheets/sheet119.xml><?xml version="1.0" encoding="utf-8"?>
<worksheet xmlns="http://schemas.openxmlformats.org/spreadsheetml/2006/main" xmlns:r="http://schemas.openxmlformats.org/officeDocument/2006/relationships">
  <dimension ref="A1:G8"/>
  <sheetViews>
    <sheetView workbookViewId="0">
      <selection activeCell="B4" sqref="B4:E8"/>
    </sheetView>
  </sheetViews>
  <sheetFormatPr defaultRowHeight="15"/>
  <cols>
    <col min="1" max="1" width="4.00" customWidth="1"/>
    <col min="2" max="2" width="10.00" customWidth="1"/>
    <col min="3" max="3" width="36.00" customWidth="1"/>
    <col min="4" max="4" width="10.00" customWidth="1"/>
    <col min="5" max="5" width="12.00" customWidth="1"/>
    <col min="7" max="7" width="12.00" customWidth="1"/>
  </cols>
  <sheetData>
    <row r="1">
      <c r="A1" s="1" t="inlineStr">
        <is>
          <t>BILL OF QUANTITIES — FOUNDATIONS</t>
        </is>
      </c>
      <c r="G1" s="106" t="inlineStr">
        <is>
          <t>← Index</t>
        </is>
      </c>
    </row>
    <row r="3">
      <c r="A3" s="3" t="inlineStr">
        <is>
          <t>No.</t>
        </is>
      </c>
      <c r="B3" s="3" t="inlineStr">
        <is>
          <t>Code</t>
        </is>
      </c>
      <c r="C3" s="3" t="inlineStr">
        <is>
          <t>Work item</t>
        </is>
      </c>
      <c r="D3" s="3" t="inlineStr">
        <is>
          <t>Quantity</t>
        </is>
      </c>
      <c r="E3" s="3" t="inlineStr">
        <is>
          <t>Unit rate</t>
        </is>
      </c>
    </row>
    <row r="4">
      <c r="A4" s="6">
        <v>1</v>
      </c>
      <c r="B4" s="4" t="inlineStr">
        <is>
          <t>AB.11213</t>
        </is>
      </c>
      <c r="C4" s="4" t="inlineStr">
        <is>
          <t>Manual excavation, soil grade III</t>
        </is>
      </c>
      <c r="D4" s="37">
        <v>42.5</v>
      </c>
      <c r="E4" s="4"/>
    </row>
    <row r="5">
      <c r="A5" s="6">
        <v>2</v>
      </c>
      <c r="B5" s="4" t="inlineStr">
        <is>
          <t>AF.11120</t>
        </is>
      </c>
      <c r="C5" s="4" t="inlineStr">
        <is>
          <t>Blinding concrete M100</t>
        </is>
      </c>
      <c r="D5" s="37">
        <v>12.4</v>
      </c>
      <c r="E5" s="4"/>
    </row>
    <row r="6">
      <c r="A6" s="6">
        <v>3</v>
      </c>
      <c r="B6" s="4" t="inlineStr">
        <is>
          <t>AF.11220</t>
        </is>
      </c>
      <c r="C6" s="4" t="inlineStr">
        <is>
          <t>Footing concrete M250</t>
        </is>
      </c>
      <c r="D6" s="37">
        <v>86.5</v>
      </c>
      <c r="E6" s="4"/>
    </row>
    <row r="7">
      <c r="A7" s="6">
        <v>4</v>
      </c>
      <c r="B7" s="4" t="inlineStr">
        <is>
          <t>AF.61120</t>
        </is>
      </c>
      <c r="C7" s="4" t="inlineStr">
        <is>
          <t>Footing rebar d ≤ 18 mm</t>
        </is>
      </c>
      <c r="D7" s="37">
        <v>7.85</v>
      </c>
      <c r="E7" s="4"/>
    </row>
    <row r="8">
      <c r="A8" s="6">
        <v>5</v>
      </c>
      <c r="B8" s="4" t="inlineStr">
        <is>
          <t>AF.8112</t>
        </is>
      </c>
      <c r="C8" s="4" t="inlineStr">
        <is>
          <t>Footing formwork</t>
        </is>
      </c>
      <c r="D8" s="37">
        <v>2.1</v>
      </c>
      <c r="E8" s="4"/>
    </row>
  </sheetData>
  <hyperlinks>
    <hyperlink ref="G1" location="'Index'!A134" display="← Index"/>
  </hyperlinks>
  <pageMargins left="0.7" right="0.7" top="0.75" bottom="0.75" header="0.3" footer="0.3"/>
</worksheet>
</file>

<file path=xl/worksheets/sheet120.xml><?xml version="1.0" encoding="utf-8"?>
<worksheet xmlns="http://schemas.openxmlformats.org/spreadsheetml/2006/main" xmlns:r="http://schemas.openxmlformats.org/officeDocument/2006/relationships">
  <dimension ref="A1:F10"/>
  <sheetViews>
    <sheetView workbookViewId="0"/>
  </sheetViews>
  <sheetFormatPr defaultRowHeight="15"/>
  <cols>
    <col min="1" max="1" width="10.00" customWidth="1"/>
    <col min="2" max="2" width="34.00" customWidth="1"/>
    <col min="3" max="3" width="9.00" customWidth="1"/>
    <col min="4" max="4" width="13.00" customWidth="1"/>
    <col min="6" max="6" width="12.00" customWidth="1"/>
  </cols>
  <sheetData>
    <row r="1">
      <c r="A1" s="1" t="inlineStr">
        <is>
          <t>DETAILED UNIT RATES — FOUNDATIONS</t>
        </is>
      </c>
      <c r="F1" s="106" t="inlineStr">
        <is>
          <t>← Index</t>
        </is>
      </c>
    </row>
    <row r="4">
      <c r="A4" s="3" t="inlineStr">
        <is>
          <t>Code</t>
        </is>
      </c>
      <c r="B4" s="3" t="inlineStr">
        <is>
          <t>Work item</t>
        </is>
      </c>
      <c r="C4" s="3" t="inlineStr">
        <is>
          <t>Unit</t>
        </is>
      </c>
      <c r="D4" s="3" t="inlineStr">
        <is>
          <t>Unit rate</t>
        </is>
      </c>
    </row>
    <row r="5">
      <c r="A5" s="4" t="inlineStr">
        <is>
          <t>AB.11213</t>
        </is>
      </c>
      <c r="B5" s="4" t="inlineStr">
        <is>
          <t>Manual excavation, soil grade III</t>
        </is>
      </c>
      <c r="C5" s="6" t="inlineStr">
        <is>
          <t>m³</t>
        </is>
      </c>
      <c r="D5" s="33">
        <v>285000</v>
      </c>
    </row>
    <row r="6">
      <c r="A6" s="4" t="inlineStr">
        <is>
          <t>AF.11120</t>
        </is>
      </c>
      <c r="B6" s="4" t="inlineStr">
        <is>
          <t>Blinding concrete M100</t>
        </is>
      </c>
      <c r="C6" s="6" t="inlineStr">
        <is>
          <t>m³</t>
        </is>
      </c>
      <c r="D6" s="33">
        <v>1320000</v>
      </c>
    </row>
    <row r="7">
      <c r="A7" s="4" t="inlineStr">
        <is>
          <t>AB.13112</t>
        </is>
      </c>
      <c r="B7" s="4" t="inlineStr">
        <is>
          <t>Backfill to footing pits, compaction K = 0.90</t>
        </is>
      </c>
      <c r="C7" s="6" t="inlineStr">
        <is>
          <t>m³</t>
        </is>
      </c>
      <c r="D7" s="33">
        <v>96000</v>
      </c>
    </row>
    <row r="8">
      <c r="A8" s="4" t="inlineStr">
        <is>
          <t>AF.11220</t>
        </is>
      </c>
      <c r="B8" s="4" t="inlineStr">
        <is>
          <t>Footing concrete M250</t>
        </is>
      </c>
      <c r="C8" s="6" t="inlineStr">
        <is>
          <t>m³</t>
        </is>
      </c>
      <c r="D8" s="33">
        <v>1850000</v>
      </c>
    </row>
    <row r="9">
      <c r="A9" s="4" t="inlineStr">
        <is>
          <t>AF.61120</t>
        </is>
      </c>
      <c r="B9" s="4" t="inlineStr">
        <is>
          <t>Footing rebar d ≤ 18 mm</t>
        </is>
      </c>
      <c r="C9" s="6" t="inlineStr">
        <is>
          <t>t</t>
        </is>
      </c>
      <c r="D9" s="33">
        <v>21500000</v>
      </c>
    </row>
    <row r="10">
      <c r="A10" s="4" t="inlineStr">
        <is>
          <t>AF.81122</t>
        </is>
      </c>
      <c r="B10" s="4" t="inlineStr">
        <is>
          <t>Footing formwork</t>
        </is>
      </c>
      <c r="C10" s="6" t="inlineStr">
        <is>
          <t>100 m²</t>
        </is>
      </c>
      <c r="D10" s="33">
        <v>7650000</v>
      </c>
    </row>
  </sheetData>
  <hyperlinks>
    <hyperlink ref="F1" location="'Index'!A134" display="← Index"/>
  </hyperlinks>
  <pageMargins left="0.7" right="0.7" top="0.75" bottom="0.75" header="0.3" footer="0.3"/>
</worksheet>
</file>

<file path=xl/worksheets/sheet121.xml><?xml version="1.0" encoding="utf-8"?>
<worksheet xmlns="http://schemas.openxmlformats.org/spreadsheetml/2006/main" xmlns:r="http://schemas.openxmlformats.org/officeDocument/2006/relationships">
  <dimension ref="A1:I8"/>
  <sheetViews>
    <sheetView workbookViewId="0">
      <selection activeCell="G4" sqref="G4:G8"/>
    </sheetView>
  </sheetViews>
  <sheetFormatPr defaultRowHeight="15"/>
  <cols>
    <col min="1" max="1" width="4.00" customWidth="1"/>
    <col min="2" max="2" width="20.00" customWidth="1"/>
    <col min="3" max="3" width="7.00" customWidth="1"/>
    <col min="4" max="4" width="8.00" customWidth="1"/>
    <col min="5" max="5" width="8.00" customWidth="1"/>
    <col min="6" max="6" width="8.00" customWidth="1"/>
    <col min="7" max="7" width="12.00" customWidth="1"/>
    <col min="9" max="9" width="12.00" customWidth="1"/>
  </cols>
  <sheetData>
    <row r="1">
      <c r="A1" s="1" t="inlineStr">
        <is>
          <t>MEMBER CONCRETE QUANTITIES — LEVEL 1</t>
        </is>
      </c>
      <c r="I1" s="106" t="inlineStr">
        <is>
          <t>← Index</t>
        </is>
      </c>
    </row>
    <row r="3">
      <c r="A3" s="3" t="inlineStr">
        <is>
          <t>No.</t>
        </is>
      </c>
      <c r="B3" s="3" t="inlineStr">
        <is>
          <t>Member</t>
        </is>
      </c>
      <c r="C3" s="3" t="inlineStr">
        <is>
          <t>Qty</t>
        </is>
      </c>
      <c r="D3" s="3" t="inlineStr">
        <is>
          <t>L (m)</t>
        </is>
      </c>
      <c r="E3" s="3" t="inlineStr">
        <is>
          <t>W (m)</t>
        </is>
      </c>
      <c r="F3" s="3" t="inlineStr">
        <is>
          <t>H (m)</t>
        </is>
      </c>
      <c r="G3" s="3" t="inlineStr">
        <is>
          <t>Vol. (m³)</t>
        </is>
      </c>
    </row>
    <row r="4">
      <c r="A4" s="6">
        <v>1</v>
      </c>
      <c r="B4" s="4" t="inlineStr">
        <is>
          <t>Footing F1</t>
        </is>
      </c>
      <c r="C4" s="4">
        <v>4</v>
      </c>
      <c r="D4" s="37">
        <v>2.45</v>
      </c>
      <c r="E4" s="37">
        <v>2.45</v>
      </c>
      <c r="F4" s="37">
        <v>0.75</v>
      </c>
      <c r="G4" s="57">
        <f>C4*D4*E4*F4</f>
        <v>18.0075</v>
      </c>
    </row>
    <row r="5">
      <c r="A5" s="6">
        <v>2</v>
      </c>
      <c r="B5" s="4" t="inlineStr">
        <is>
          <t>Ground beam GB1</t>
        </is>
      </c>
      <c r="C5" s="4">
        <v>2</v>
      </c>
      <c r="D5" s="37">
        <v>18.35</v>
      </c>
      <c r="E5" s="37">
        <v>0.35</v>
      </c>
      <c r="F5" s="37">
        <v>0.55</v>
      </c>
      <c r="G5" s="58">
        <f>C5*D5*E5*F5</f>
        <v>7.06475</v>
      </c>
    </row>
    <row r="6">
      <c r="A6" s="6">
        <v>3</v>
      </c>
      <c r="B6" s="4" t="inlineStr">
        <is>
          <t>Column stub C1</t>
        </is>
      </c>
      <c r="C6" s="4">
        <v>4</v>
      </c>
      <c r="D6" s="37">
        <v>0.33</v>
      </c>
      <c r="E6" s="37">
        <v>0.33</v>
      </c>
      <c r="F6" s="37">
        <v>1.15</v>
      </c>
      <c r="G6" s="58">
        <f>C6*D6*E6*F6</f>
        <v>0.50094</v>
      </c>
    </row>
    <row r="7">
      <c r="A7" s="6">
        <v>4</v>
      </c>
      <c r="B7" s="4" t="inlineStr">
        <is>
          <t>Beam B1</t>
        </is>
      </c>
      <c r="C7" s="4">
        <v>6</v>
      </c>
      <c r="D7" s="37">
        <v>5.65</v>
      </c>
      <c r="E7" s="37">
        <v>0.22</v>
      </c>
      <c r="F7" s="37">
        <v>0.45</v>
      </c>
      <c r="G7" s="57">
        <f>C7*D7*E7*F7</f>
        <v>3.3561</v>
      </c>
    </row>
    <row r="8">
      <c r="A8" s="6">
        <v>5</v>
      </c>
      <c r="B8" s="4" t="inlineStr">
        <is>
          <t>Slab S1</t>
        </is>
      </c>
      <c r="C8" s="4">
        <v>1</v>
      </c>
      <c r="D8" s="37">
        <v>12.45</v>
      </c>
      <c r="E8" s="37">
        <v>7.85</v>
      </c>
      <c r="F8" s="37">
        <v>0.12</v>
      </c>
      <c r="G8" s="57">
        <f>C8*D8*E8*F8</f>
        <v>11.7279</v>
      </c>
    </row>
  </sheetData>
  <hyperlinks>
    <hyperlink ref="I1" location="'Index'!A135" display="← Index"/>
  </hyperlinks>
  <pageMargins left="0.7" right="0.7" top="0.75" bottom="0.75" header="0.3" footer="0.3"/>
</worksheet>
</file>

<file path=xl/worksheets/sheet122.xml><?xml version="1.0" encoding="utf-8"?>
<worksheet xmlns="http://schemas.openxmlformats.org/spreadsheetml/2006/main" xmlns:r="http://schemas.openxmlformats.org/officeDocument/2006/relationships">
  <dimension ref="A1:G8"/>
  <sheetViews>
    <sheetView workbookViewId="0">
      <selection activeCell="E4" sqref="E4:E8"/>
    </sheetView>
  </sheetViews>
  <sheetFormatPr defaultRowHeight="15"/>
  <cols>
    <col min="1" max="1" width="9.00" customWidth="1"/>
    <col min="2" max="2" width="11.00" customWidth="1"/>
    <col min="3" max="3" width="9.00" customWidth="1"/>
    <col min="4" max="4" width="13.00" customWidth="1"/>
    <col min="5" max="5" width="14.00" customWidth="1"/>
    <col min="7" max="7" width="12.00" customWidth="1"/>
  </cols>
  <sheetData>
    <row r="1">
      <c r="A1" s="1" t="inlineStr">
        <is>
          <t>LEVEL 3 SLAB REBAR SCHEDULE</t>
        </is>
      </c>
      <c r="G1" s="106" t="inlineStr">
        <is>
          <t>← Index</t>
        </is>
      </c>
    </row>
    <row r="3">
      <c r="A3" s="3" t="inlineStr">
        <is>
          <t>Mark</t>
        </is>
      </c>
      <c r="B3" s="3" t="inlineStr">
        <is>
          <t>Dia. (mm)</t>
        </is>
      </c>
      <c r="C3" s="3" t="inlineStr">
        <is>
          <t>Bars</t>
        </is>
      </c>
      <c r="D3" s="3" t="inlineStr">
        <is>
          <t>Bar length (m)</t>
        </is>
      </c>
      <c r="E3" s="3" t="inlineStr">
        <is>
          <t>Weight (kg)</t>
        </is>
      </c>
    </row>
    <row r="4">
      <c r="A4" s="6" t="inlineStr">
        <is>
          <t>S1</t>
        </is>
      </c>
      <c r="B4" s="4">
        <v>10</v>
      </c>
      <c r="C4" s="4">
        <v>45</v>
      </c>
      <c r="D4" s="37">
        <v>6.2</v>
      </c>
      <c r="E4" s="37">
        <f>C4*D4*VLOOKUP(B4,BANGTHEP!A2:B12,2,0)</f>
        <v>172.14</v>
      </c>
    </row>
    <row r="5">
      <c r="A5" s="6" t="inlineStr">
        <is>
          <t>S2</t>
        </is>
      </c>
      <c r="B5" s="4">
        <v>10</v>
      </c>
      <c r="C5" s="4">
        <v>38</v>
      </c>
      <c r="D5" s="37">
        <v>4.85</v>
      </c>
      <c r="E5" s="37">
        <f>C5*D5*VLOOKUP(B5,BANGTHEP!A2:B12,2,0)</f>
        <v>113.71</v>
      </c>
    </row>
    <row r="6">
      <c r="A6" s="6" t="inlineStr">
        <is>
          <t>S3</t>
        </is>
      </c>
      <c r="B6" s="4">
        <v>12</v>
      </c>
      <c r="C6" s="4">
        <v>26</v>
      </c>
      <c r="D6" s="37">
        <v>7.4</v>
      </c>
      <c r="E6" s="37">
        <f>C6*D6*VLOOKUP(B6,BANGTHEP!A2:B12,2,0)</f>
        <v>170.85</v>
      </c>
    </row>
    <row r="7">
      <c r="A7" s="6" t="inlineStr">
        <is>
          <t>S4</t>
        </is>
      </c>
      <c r="B7" s="4">
        <v>8</v>
      </c>
      <c r="C7" s="4">
        <v>60</v>
      </c>
      <c r="D7" s="37">
        <v>2.35</v>
      </c>
      <c r="E7" s="37">
        <f>C7*D7*VLOOKUP(B7,BANGTHEP!A2:B12,2,0)</f>
        <v>55.7</v>
      </c>
    </row>
    <row r="8">
      <c r="A8" s="6" t="inlineStr">
        <is>
          <t>S5</t>
        </is>
      </c>
      <c r="B8" s="4">
        <v>14</v>
      </c>
      <c r="C8" s="4">
        <v>12</v>
      </c>
      <c r="D8" s="37">
        <v>5.9</v>
      </c>
      <c r="E8" s="37">
        <f>C8*D8*VLOOKUP(B8,BANGTHEP!A2:B12,2,0)</f>
        <v>85.67</v>
      </c>
    </row>
  </sheetData>
  <hyperlinks>
    <hyperlink ref="G1" location="'Index'!A136" display="← Index"/>
  </hyperlinks>
  <pageMargins left="0.7" right="0.7" top="0.75" bottom="0.75" header="0.3" footer="0.3"/>
</worksheet>
</file>

<file path=xl/worksheets/sheet123.xml><?xml version="1.0" encoding="utf-8"?>
<worksheet xmlns="http://schemas.openxmlformats.org/spreadsheetml/2006/main" xmlns:r="http://schemas.openxmlformats.org/officeDocument/2006/relationships">
  <dimension ref="A1:D12"/>
  <sheetViews>
    <sheetView workbookViewId="0"/>
  </sheetViews>
  <sheetFormatPr defaultRowHeight="15"/>
  <cols>
    <col min="1" max="1" width="13.00" customWidth="1"/>
    <col min="2" max="2" width="10.00" customWidth="1"/>
    <col min="4" max="4" width="12.00" customWidth="1"/>
  </cols>
  <sheetData>
    <row r="1">
      <c r="A1" s="3" t="inlineStr">
        <is>
          <t>Dia. (mm)</t>
        </is>
      </c>
      <c r="B1" s="3" t="inlineStr">
        <is>
          <t>kg/m</t>
        </is>
      </c>
      <c r="D1" s="106" t="inlineStr">
        <is>
          <t>← Index</t>
        </is>
      </c>
    </row>
    <row r="2">
      <c r="A2" s="4">
        <v>6</v>
      </c>
      <c r="B2" s="59">
        <v>0.222</v>
      </c>
    </row>
    <row r="3">
      <c r="A3" s="4">
        <v>8</v>
      </c>
      <c r="B3" s="59">
        <v>0.395</v>
      </c>
    </row>
    <row r="4">
      <c r="A4" s="4">
        <v>10</v>
      </c>
      <c r="B4" s="59">
        <v>0.617</v>
      </c>
    </row>
    <row r="5">
      <c r="A5" s="4">
        <v>12</v>
      </c>
      <c r="B5" s="59">
        <v>0.888</v>
      </c>
    </row>
    <row r="6">
      <c r="A6" s="4">
        <v>14</v>
      </c>
      <c r="B6" s="59">
        <v>1.21</v>
      </c>
    </row>
    <row r="7">
      <c r="A7" s="4">
        <v>16</v>
      </c>
      <c r="B7" s="59">
        <v>1.58</v>
      </c>
    </row>
    <row r="8">
      <c r="A8" s="4">
        <v>18</v>
      </c>
      <c r="B8" s="59">
        <v>2</v>
      </c>
    </row>
    <row r="9">
      <c r="A9" s="4">
        <v>20</v>
      </c>
      <c r="B9" s="59">
        <v>2.47</v>
      </c>
    </row>
    <row r="10">
      <c r="A10" s="4">
        <v>22</v>
      </c>
      <c r="B10" s="59">
        <v>2.98</v>
      </c>
    </row>
    <row r="11">
      <c r="A11" s="4">
        <v>25</v>
      </c>
      <c r="B11" s="59">
        <v>3.85</v>
      </c>
    </row>
    <row r="12">
      <c r="A12" s="4">
        <v>28</v>
      </c>
      <c r="B12" s="59">
        <v>4.83</v>
      </c>
    </row>
  </sheetData>
  <hyperlinks>
    <hyperlink ref="D1" location="'Index'!A136" display="← Index"/>
  </hyperlinks>
  <pageMargins left="0.7" right="0.7" top="0.75" bottom="0.75" header="0.3" footer="0.3"/>
</worksheet>
</file>

<file path=xl/worksheets/sheet124.xml><?xml version="1.0" encoding="utf-8"?>
<worksheet xmlns="http://schemas.openxmlformats.org/spreadsheetml/2006/main" xmlns:r="http://schemas.openxmlformats.org/officeDocument/2006/relationships">
  <dimension ref="A1:G9"/>
  <sheetViews>
    <sheetView workbookViewId="0">
      <selection activeCell="E4" sqref="E4:E9"/>
    </sheetView>
  </sheetViews>
  <sheetFormatPr defaultRowHeight="15"/>
  <cols>
    <col min="1" max="1" width="5.00" customWidth="1"/>
    <col min="2" max="2" width="32.00" customWidth="1"/>
    <col min="3" max="3" width="10.00" customWidth="1"/>
    <col min="4" max="4" width="12.00" customWidth="1"/>
    <col min="5" max="5" width="15.00" customWidth="1"/>
    <col min="7" max="7" width="12.00" customWidth="1"/>
  </cols>
  <sheetData>
    <row r="1">
      <c r="A1" s="1" t="inlineStr">
        <is>
          <t>COST SUMMARY — 9-STOREY OFFICE BUILDING</t>
        </is>
      </c>
      <c r="G1" s="106" t="inlineStr">
        <is>
          <t>← Index</t>
        </is>
      </c>
    </row>
    <row r="3">
      <c r="A3" s="3" t="inlineStr">
        <is>
          <t>No.</t>
        </is>
      </c>
      <c r="B3" s="3" t="inlineStr">
        <is>
          <t>Item</t>
        </is>
      </c>
      <c r="C3" s="3" t="inlineStr">
        <is>
          <t>Quantity</t>
        </is>
      </c>
      <c r="D3" s="3" t="inlineStr">
        <is>
          <t>Unit rate</t>
        </is>
      </c>
      <c r="E3" s="3" t="inlineStr">
        <is>
          <t>Amount</t>
        </is>
      </c>
    </row>
    <row r="4">
      <c r="A4" s="31" t="inlineStr">
        <is>
          <t>I</t>
        </is>
      </c>
      <c r="B4" s="25" t="inlineStr">
        <is>
          <t>FOUNDATIONS</t>
        </is>
      </c>
      <c r="C4" s="4"/>
      <c r="D4" s="4"/>
      <c r="E4" s="39">
        <f>SUM(E5:E7)</f>
        <v>206033000.0</v>
      </c>
    </row>
    <row r="5">
      <c r="A5" s="6">
        <v>1</v>
      </c>
      <c r="B5" s="4" t="inlineStr">
        <is>
          <t>Blinding concrete M100</t>
        </is>
      </c>
      <c r="C5" s="37">
        <v>12.4</v>
      </c>
      <c r="D5" s="15">
        <v>1320000</v>
      </c>
      <c r="E5" s="15">
        <f>C5*D5</f>
        <v>16368000.0</v>
      </c>
    </row>
    <row r="6">
      <c r="A6" s="6">
        <v>2</v>
      </c>
      <c r="B6" s="4" t="inlineStr">
        <is>
          <t>Footing concrete M250</t>
        </is>
      </c>
      <c r="C6" s="37">
        <v>86.5</v>
      </c>
      <c r="D6" s="15">
        <v>1850000</v>
      </c>
      <c r="E6" s="15">
        <f>C6*D6</f>
        <v>160025000.0</v>
      </c>
    </row>
    <row r="7">
      <c r="A7" s="6">
        <v>3</v>
      </c>
      <c r="B7" s="4" t="inlineStr">
        <is>
          <t>Footing formwork</t>
        </is>
      </c>
      <c r="C7" s="37">
        <v>4.75</v>
      </c>
      <c r="D7" s="15">
        <v>6240000</v>
      </c>
      <c r="E7" s="15">
        <f>C7*D7</f>
        <v>29640000.0</v>
      </c>
    </row>
    <row r="8">
      <c r="A8" s="31" t="inlineStr">
        <is>
          <t>II</t>
        </is>
      </c>
      <c r="B8" s="25" t="inlineStr">
        <is>
          <t>SUPERSTRUCTURE</t>
        </is>
      </c>
      <c r="C8" s="4"/>
      <c r="D8" s="4"/>
      <c r="E8" s="39">
        <f>SUM(E9:E9)</f>
        <v>242350000.0</v>
      </c>
    </row>
    <row r="9">
      <c r="A9" s="6">
        <v>1</v>
      </c>
      <c r="B9" s="4" t="inlineStr">
        <is>
          <t>Column, beam, slab concrete M300</t>
        </is>
      </c>
      <c r="C9" s="37">
        <v>131</v>
      </c>
      <c r="D9" s="15">
        <v>1850000</v>
      </c>
      <c r="E9" s="15">
        <f>C9*D9</f>
        <v>242350000.0</v>
      </c>
    </row>
  </sheetData>
  <hyperlinks>
    <hyperlink ref="G1" location="'Index'!A137" display="← Index"/>
  </hyperlinks>
  <pageMargins left="0.7" right="0.7" top="0.75" bottom="0.75" header="0.3" footer="0.3"/>
</worksheet>
</file>

<file path=xl/worksheets/sheet125.xml><?xml version="1.0" encoding="utf-8"?>
<worksheet xmlns="http://schemas.openxmlformats.org/spreadsheetml/2006/main" xmlns:r="http://schemas.openxmlformats.org/officeDocument/2006/relationships">
  <dimension ref="A1:G9"/>
  <sheetViews>
    <sheetView workbookViewId="0">
      <selection activeCell="B4" sqref="B4"/>
    </sheetView>
  </sheetViews>
  <sheetFormatPr defaultRowHeight="15"/>
  <cols>
    <col min="1" max="1" width="13.00" customWidth="1"/>
    <col min="2" max="2" width="12.00" customWidth="1"/>
    <col min="3" max="3" width="13.00" customWidth="1"/>
    <col min="4" max="4" width="12.00" customWidth="1"/>
    <col min="5" max="5" width="18.00" customWidth="1"/>
    <col min="7" max="7" width="12.00" customWidth="1"/>
  </cols>
  <sheetData>
    <row r="1">
      <c r="A1" s="1" t="inlineStr">
        <is>
          <t>LEVEL 3 SLAB POUR PROGRESS</t>
        </is>
      </c>
      <c r="G1" s="106" t="inlineStr">
        <is>
          <t>← Index</t>
        </is>
      </c>
    </row>
    <row r="3">
      <c r="A3" s="3" t="inlineStr">
        <is>
          <t>Shape name</t>
        </is>
      </c>
      <c r="B3" s="3" t="inlineStr">
        <is>
          <t>Colour code</t>
        </is>
      </c>
      <c r="C3" s="3" t="inlineStr">
        <is>
          <t>Status</t>
        </is>
      </c>
      <c r="D3" s="3" t="inlineStr">
        <is>
          <t>Pour date</t>
        </is>
      </c>
      <c r="E3" s="3" t="inlineStr">
        <is>
          <t>Location</t>
        </is>
      </c>
    </row>
    <row r="4">
      <c r="A4" s="4" t="inlineStr">
        <is>
          <t>O_A1</t>
        </is>
      </c>
      <c r="B4" s="4">
        <f>IF(C4="Poured",5296274,IF(C4="In progress",65535,12632256))</f>
        <v>5296274.0</v>
      </c>
      <c r="C4" s="4" t="inlineStr">
        <is>
          <t>Poured</t>
        </is>
      </c>
      <c r="D4" s="5">
        <v>46283</v>
      </c>
      <c r="E4" s="4" t="inlineStr">
        <is>
          <t>Grid 1–2 × A–B</t>
        </is>
      </c>
    </row>
    <row r="5">
      <c r="A5" s="4" t="inlineStr">
        <is>
          <t>O_A2</t>
        </is>
      </c>
      <c r="B5" s="4">
        <f>IF(C5="Poured",5296274,IF(C5="In progress",65535,12632256))</f>
        <v>5296274.0</v>
      </c>
      <c r="C5" s="4" t="inlineStr">
        <is>
          <t>Poured</t>
        </is>
      </c>
      <c r="D5" s="5">
        <v>46283</v>
      </c>
      <c r="E5" s="4" t="inlineStr">
        <is>
          <t>Grid 2–3 × A–B</t>
        </is>
      </c>
    </row>
    <row r="6">
      <c r="A6" s="4" t="inlineStr">
        <is>
          <t>O_B1</t>
        </is>
      </c>
      <c r="B6" s="4">
        <f>IF(C6="Poured",5296274,IF(C6="In progress",65535,12632256))</f>
        <v>65535.0</v>
      </c>
      <c r="C6" s="4" t="inlineStr">
        <is>
          <t>In progress</t>
        </is>
      </c>
      <c r="D6" s="5">
        <v>46303</v>
      </c>
      <c r="E6" s="4" t="inlineStr">
        <is>
          <t>Grid 1–2 × B–C</t>
        </is>
      </c>
    </row>
    <row r="7">
      <c r="A7" s="4" t="inlineStr">
        <is>
          <t>O_B2</t>
        </is>
      </c>
      <c r="B7" s="4">
        <f>IF(C7="Poured",5296274,IF(C7="In progress",65535,12632256))</f>
        <v>65535.0</v>
      </c>
      <c r="C7" s="4" t="inlineStr">
        <is>
          <t>In progress</t>
        </is>
      </c>
      <c r="D7" s="5">
        <v>46303</v>
      </c>
      <c r="E7" s="4" t="inlineStr">
        <is>
          <t>Grid 2–3 × B–C</t>
        </is>
      </c>
    </row>
    <row r="8">
      <c r="A8" s="4" t="inlineStr">
        <is>
          <t>O_C1</t>
        </is>
      </c>
      <c r="B8" s="4">
        <f>IF(C8="Poured",5296274,IF(C8="In progress",65535,12632256))</f>
        <v>12632256.0</v>
      </c>
      <c r="C8" s="4" t="inlineStr">
        <is>
          <t>Not started</t>
        </is>
      </c>
      <c r="D8" s="4"/>
      <c r="E8" s="4" t="inlineStr">
        <is>
          <t>Grid 1–2 × C–D</t>
        </is>
      </c>
    </row>
    <row r="9">
      <c r="A9" s="4" t="inlineStr">
        <is>
          <t>O_C2</t>
        </is>
      </c>
      <c r="B9" s="4">
        <f>IF(C9="Poured",5296274,IF(C9="In progress",65535,12632256))</f>
        <v>12632256.0</v>
      </c>
      <c r="C9" s="4" t="inlineStr">
        <is>
          <t>Not started</t>
        </is>
      </c>
      <c r="D9" s="4"/>
      <c r="E9" s="4" t="inlineStr">
        <is>
          <t>Grid 2–3 × C–D</t>
        </is>
      </c>
    </row>
  </sheetData>
  <hyperlinks>
    <hyperlink ref="G1" location="'Index'!A138" display="← Index"/>
  </hyperlinks>
  <pageMargins left="0.7" right="0.7" top="0.75" bottom="0.75" header="0.3" footer="0.3"/>
</worksheet>
</file>

<file path=xl/worksheets/sheet126.xml><?xml version="1.0" encoding="utf-8"?>
<worksheet xmlns="http://schemas.openxmlformats.org/spreadsheetml/2006/main" xmlns:r="http://schemas.openxmlformats.org/officeDocument/2006/relationships">
  <dimension ref="A1:I7"/>
  <sheetViews>
    <sheetView workbookViewId="0">
      <selection activeCell="C4" sqref="C4:G7"/>
    </sheetView>
  </sheetViews>
  <sheetFormatPr defaultRowHeight="15"/>
  <cols>
    <col min="1" max="1" width="11.00" customWidth="1"/>
    <col min="2" max="2" width="8.00" customWidth="1"/>
    <col min="3" max="3" width="10.00" customWidth="1"/>
    <col min="4" max="4" width="10.00" customWidth="1"/>
    <col min="5" max="5" width="10.00" customWidth="1"/>
    <col min="6" max="6" width="10.00" customWidth="1"/>
    <col min="7" max="7" width="10.00" customWidth="1"/>
    <col min="9" max="9" width="12.00" customWidth="1"/>
  </cols>
  <sheetData>
    <row r="1">
      <c r="A1" s="1" t="inlineStr">
        <is>
          <t>LEVEL 5 SLAB POURS BY WEEK</t>
        </is>
      </c>
      <c r="I1" s="106" t="inlineStr">
        <is>
          <t>← Index</t>
        </is>
      </c>
    </row>
    <row r="2">
      <c r="A2" s="3" t="inlineStr">
        <is>
          <t>Zone</t>
        </is>
      </c>
      <c r="B2" s="3" t="inlineStr">
        <is>
          <t>Pour wk</t>
        </is>
      </c>
      <c r="C2" s="3" t="inlineStr">
        <is>
          <t>Construction week</t>
        </is>
      </c>
      <c r="D2" s="4"/>
      <c r="E2" s="4"/>
      <c r="F2" s="4"/>
      <c r="G2" s="4"/>
    </row>
    <row r="3">
      <c r="A3" s="4"/>
      <c r="B3" s="4"/>
      <c r="C3" s="3">
        <v>1</v>
      </c>
      <c r="D3" s="3">
        <v>2</v>
      </c>
      <c r="E3" s="3">
        <v>3</v>
      </c>
      <c r="F3" s="3">
        <v>4</v>
      </c>
      <c r="G3" s="3">
        <v>5</v>
      </c>
    </row>
    <row r="4">
      <c r="A4" s="4" t="inlineStr">
        <is>
          <t>S1</t>
        </is>
      </c>
      <c r="B4" s="6">
        <v>2</v>
      </c>
      <c r="C4" s="4">
        <f>IF(C$3&lt;$B4,12632256,IF(C$3=$B4,65535,5296274))</f>
        <v>12632256.0</v>
      </c>
      <c r="D4" s="4">
        <f>IF(D$3&lt;$B4,12632256,IF(D$3=$B4,65535,5296274))</f>
        <v>65535.0</v>
      </c>
      <c r="E4" s="4">
        <f>IF(E$3&lt;$B4,12632256,IF(E$3=$B4,65535,5296274))</f>
        <v>5296274.0</v>
      </c>
      <c r="F4" s="4">
        <f>IF(F$3&lt;$B4,12632256,IF(F$3=$B4,65535,5296274))</f>
        <v>5296274.0</v>
      </c>
      <c r="G4" s="4">
        <f>IF(G$3&lt;$B4,12632256,IF(G$3=$B4,65535,5296274))</f>
        <v>5296274.0</v>
      </c>
    </row>
    <row r="5">
      <c r="A5" s="4" t="inlineStr">
        <is>
          <t>S2</t>
        </is>
      </c>
      <c r="B5" s="6">
        <v>3</v>
      </c>
      <c r="C5" s="4">
        <f>IF(C$3&lt;$B5,12632256,IF(C$3=$B5,65535,5296274))</f>
        <v>12632256.0</v>
      </c>
      <c r="D5" s="4">
        <f>IF(D$3&lt;$B5,12632256,IF(D$3=$B5,65535,5296274))</f>
        <v>12632256.0</v>
      </c>
      <c r="E5" s="4">
        <f>IF(E$3&lt;$B5,12632256,IF(E$3=$B5,65535,5296274))</f>
        <v>65535.0</v>
      </c>
      <c r="F5" s="4">
        <f>IF(F$3&lt;$B5,12632256,IF(F$3=$B5,65535,5296274))</f>
        <v>5296274.0</v>
      </c>
      <c r="G5" s="4">
        <f>IF(G$3&lt;$B5,12632256,IF(G$3=$B5,65535,5296274))</f>
        <v>5296274.0</v>
      </c>
    </row>
    <row r="6">
      <c r="A6" s="4" t="inlineStr">
        <is>
          <t>S3</t>
        </is>
      </c>
      <c r="B6" s="6">
        <v>4</v>
      </c>
      <c r="C6" s="4">
        <f>IF(C$3&lt;$B6,12632256,IF(C$3=$B6,65535,5296274))</f>
        <v>12632256.0</v>
      </c>
      <c r="D6" s="4">
        <f>IF(D$3&lt;$B6,12632256,IF(D$3=$B6,65535,5296274))</f>
        <v>12632256.0</v>
      </c>
      <c r="E6" s="4">
        <f>IF(E$3&lt;$B6,12632256,IF(E$3=$B6,65535,5296274))</f>
        <v>12632256.0</v>
      </c>
      <c r="F6" s="4">
        <f>IF(F$3&lt;$B6,12632256,IF(F$3=$B6,65535,5296274))</f>
        <v>65535.0</v>
      </c>
      <c r="G6" s="4">
        <f>IF(G$3&lt;$B6,12632256,IF(G$3=$B6,65535,5296274))</f>
        <v>5296274.0</v>
      </c>
    </row>
    <row r="7">
      <c r="A7" s="4" t="inlineStr">
        <is>
          <t>S4</t>
        </is>
      </c>
      <c r="B7" s="6">
        <v>5</v>
      </c>
      <c r="C7" s="4">
        <f>IF(C$3&lt;$B7,12632256,IF(C$3=$B7,65535,5296274))</f>
        <v>12632256.0</v>
      </c>
      <c r="D7" s="4">
        <f>IF(D$3&lt;$B7,12632256,IF(D$3=$B7,65535,5296274))</f>
        <v>12632256.0</v>
      </c>
      <c r="E7" s="4">
        <f>IF(E$3&lt;$B7,12632256,IF(E$3=$B7,65535,5296274))</f>
        <v>12632256.0</v>
      </c>
      <c r="F7" s="4">
        <f>IF(F$3&lt;$B7,12632256,IF(F$3=$B7,65535,5296274))</f>
        <v>12632256.0</v>
      </c>
      <c r="G7" s="4">
        <f>IF(G$3&lt;$B7,12632256,IF(G$3=$B7,65535,5296274))</f>
        <v>65535.0</v>
      </c>
    </row>
  </sheetData>
  <mergeCells count="3">
    <mergeCell ref="C2:G2"/>
    <mergeCell ref="A2:A3"/>
    <mergeCell ref="B2:B3"/>
  </mergeCells>
  <hyperlinks>
    <hyperlink ref="I1" location="'Index'!A139" display="← Index"/>
  </hyperlinks>
  <pageMargins left="0.7" right="0.7" top="0.75" bottom="0.75" header="0.3" footer="0.3"/>
</worksheet>
</file>

<file path=xl/worksheets/sheet127.xml><?xml version="1.0" encoding="utf-8"?>
<worksheet xmlns="http://schemas.openxmlformats.org/spreadsheetml/2006/main" xmlns:r="http://schemas.openxmlformats.org/officeDocument/2006/relationships">
  <dimension ref="A1:D3"/>
  <sheetViews>
    <sheetView workbookViewId="0">
      <selection activeCell="A4" sqref="A4"/>
    </sheetView>
  </sheetViews>
  <sheetFormatPr defaultRowHeight="15"/>
  <cols>
    <col min="1" max="1" width="18.00" customWidth="1"/>
    <col min="2" max="2" width="14.00" customWidth="1"/>
    <col min="4" max="4" width="12.00" customWidth="1"/>
  </cols>
  <sheetData>
    <row r="1">
      <c r="A1" s="1" t="inlineStr">
        <is>
          <t>SHAPE LIST — LEVEL 3 PLAN</t>
        </is>
      </c>
      <c r="D1" s="106" t="inlineStr">
        <is>
          <t>← Index</t>
        </is>
      </c>
    </row>
    <row r="3">
      <c r="A3" s="60" t="inlineStr">
        <is>
          <t>Shape name</t>
        </is>
      </c>
    </row>
  </sheetData>
  <hyperlinks>
    <hyperlink ref="D1" location="'Index'!A140" display="← Index"/>
  </hyperlinks>
  <pageMargins left="0.7" right="0.7" top="0.75" bottom="0.75" header="0.3" footer="0.3"/>
</worksheet>
</file>

<file path=xl/worksheets/sheet128.xml><?xml version="1.0" encoding="utf-8"?>
<worksheet xmlns="http://schemas.openxmlformats.org/spreadsheetml/2006/main" xmlns:r="http://schemas.openxmlformats.org/officeDocument/2006/relationships">
  <dimension ref="A1:D8"/>
  <sheetViews>
    <sheetView workbookViewId="0">
      <selection activeCell="A4" sqref="A4:B8"/>
    </sheetView>
  </sheetViews>
  <sheetFormatPr defaultRowHeight="15"/>
  <cols>
    <col min="1" max="1" width="16.00" customWidth="1"/>
    <col min="2" max="2" width="14.00" customWidth="1"/>
    <col min="4" max="4" width="12.00" customWidth="1"/>
  </cols>
  <sheetData>
    <row r="1">
      <c r="A1" s="1" t="inlineStr">
        <is>
          <t>RENAME PILE CAPS</t>
        </is>
      </c>
      <c r="D1" s="106" t="inlineStr">
        <is>
          <t>← Index</t>
        </is>
      </c>
    </row>
    <row r="3">
      <c r="A3" s="3" t="inlineStr">
        <is>
          <t>Old name</t>
        </is>
      </c>
      <c r="B3" s="3" t="inlineStr">
        <is>
          <t>New name</t>
        </is>
      </c>
    </row>
    <row r="4">
      <c r="A4" s="4" t="inlineStr">
        <is>
          <t>Rectangle 12</t>
        </is>
      </c>
      <c r="B4" s="4" t="inlineStr">
        <is>
          <t>DM_A1</t>
        </is>
      </c>
    </row>
    <row r="5">
      <c r="A5" s="4" t="inlineStr">
        <is>
          <t>Rectangle 13</t>
        </is>
      </c>
      <c r="B5" s="4" t="inlineStr">
        <is>
          <t>DM_A2</t>
        </is>
      </c>
    </row>
    <row r="6">
      <c r="A6" s="4" t="inlineStr">
        <is>
          <t>Rectangle 14</t>
        </is>
      </c>
      <c r="B6" s="4" t="inlineStr">
        <is>
          <t>DM_B1</t>
        </is>
      </c>
    </row>
    <row r="7">
      <c r="A7" s="4" t="inlineStr">
        <is>
          <t>Rectangle 15</t>
        </is>
      </c>
      <c r="B7" s="4" t="inlineStr">
        <is>
          <t>DM_B2</t>
        </is>
      </c>
    </row>
    <row r="8">
      <c r="A8" s="4" t="inlineStr">
        <is>
          <t>Rectangle 16</t>
        </is>
      </c>
      <c r="B8" s="4" t="inlineStr">
        <is>
          <t>DM_C1</t>
        </is>
      </c>
    </row>
  </sheetData>
  <hyperlinks>
    <hyperlink ref="D1" location="'Index'!A141" display="← Index"/>
  </hyperlinks>
  <pageMargins left="0.7" right="0.7" top="0.75" bottom="0.75" header="0.3" footer="0.3"/>
</worksheet>
</file>

<file path=xl/worksheets/sheet129.xml><?xml version="1.0" encoding="utf-8"?>
<worksheet xmlns="http://schemas.openxmlformats.org/spreadsheetml/2006/main" xmlns:r="http://schemas.openxmlformats.org/officeDocument/2006/relationships">
  <dimension ref="A1:D7"/>
  <sheetViews>
    <sheetView workbookViewId="0">
      <selection activeCell="A4" sqref="A4:A7"/>
    </sheetView>
  </sheetViews>
  <sheetFormatPr defaultRowHeight="15"/>
  <cols>
    <col min="1" max="1" width="18.00" customWidth="1"/>
    <col min="2" max="2" width="14.00" customWidth="1"/>
    <col min="4" max="4" width="12.00" customWidth="1"/>
  </cols>
  <sheetData>
    <row r="1">
      <c r="A1" s="1" t="inlineStr">
        <is>
          <t>SITE FACILITY POSITIONS</t>
        </is>
      </c>
      <c r="D1" s="106" t="inlineStr">
        <is>
          <t>← Index</t>
        </is>
      </c>
    </row>
    <row r="3">
      <c r="A3" s="3" t="inlineStr">
        <is>
          <t>Shape name</t>
        </is>
      </c>
      <c r="B3" s="3" t="inlineStr">
        <is>
          <t>Top;Left</t>
        </is>
      </c>
    </row>
    <row r="4">
      <c r="A4" s="4" t="inlineStr">
        <is>
          <t>SiteOffice</t>
        </is>
      </c>
      <c r="B4" s="4"/>
    </row>
    <row r="5">
      <c r="A5" s="4" t="inlineStr">
        <is>
          <t>Warehouse</t>
        </is>
      </c>
      <c r="B5" s="4"/>
    </row>
    <row r="6">
      <c r="A6" s="4" t="inlineStr">
        <is>
          <t>PrecastYard</t>
        </is>
      </c>
      <c r="B6" s="4"/>
    </row>
    <row r="7">
      <c r="A7" s="4" t="inlineStr">
        <is>
          <t>MainGate</t>
        </is>
      </c>
      <c r="B7" s="4"/>
    </row>
  </sheetData>
  <hyperlinks>
    <hyperlink ref="D1" location="'Index'!A143" display="← Index"/>
  </hyperlinks>
  <pageMargins left="0.7" right="0.7" top="0.75" bottom="0.75" header="0.3" footer="0.3"/>
</worksheet>
</file>

<file path=xl/worksheets/sheet130.xml><?xml version="1.0" encoding="utf-8"?>
<worksheet xmlns="http://schemas.openxmlformats.org/spreadsheetml/2006/main" xmlns:r="http://schemas.openxmlformats.org/officeDocument/2006/relationships">
  <dimension ref="A1:E15"/>
  <sheetViews>
    <sheetView workbookViewId="0">
      <selection activeCell="A4" sqref="A4:C15"/>
    </sheetView>
  </sheetViews>
  <sheetFormatPr defaultRowHeight="15"/>
  <cols>
    <col min="1" max="1" width="8.00" customWidth="1"/>
    <col min="2" max="2" width="12.00" customWidth="1"/>
    <col min="3" max="3" width="14.00" customWidth="1"/>
    <col min="5" max="5" width="12.00" customWidth="1"/>
  </cols>
  <sheetData>
    <row r="1">
      <c r="A1" s="1" t="inlineStr">
        <is>
          <t>FOOTING POUR TRACKING</t>
        </is>
      </c>
      <c r="E1" s="106" t="inlineStr">
        <is>
          <t>← Index</t>
        </is>
      </c>
    </row>
    <row r="3">
      <c r="A3" s="3" t="inlineStr">
        <is>
          <t>Footing</t>
        </is>
      </c>
      <c r="B3" s="3" t="inlineStr">
        <is>
          <t>Colour code</t>
        </is>
      </c>
      <c r="C3" s="3" t="inlineStr">
        <is>
          <t>Pour date</t>
        </is>
      </c>
    </row>
    <row r="4">
      <c r="A4" s="4">
        <v>1</v>
      </c>
      <c r="B4" s="4">
        <v>5296274</v>
      </c>
      <c r="C4" s="5">
        <v>46285</v>
      </c>
    </row>
    <row r="5">
      <c r="A5" s="4">
        <v>2</v>
      </c>
      <c r="B5" s="4">
        <v>5296274</v>
      </c>
      <c r="C5" s="5">
        <v>46286</v>
      </c>
    </row>
    <row r="6">
      <c r="A6" s="4">
        <v>3</v>
      </c>
      <c r="B6" s="4">
        <v>5296274</v>
      </c>
      <c r="C6" s="5">
        <v>46287</v>
      </c>
    </row>
    <row r="7">
      <c r="A7" s="4">
        <v>4</v>
      </c>
      <c r="B7" s="4">
        <v>5296274</v>
      </c>
      <c r="C7" s="5">
        <v>46289</v>
      </c>
    </row>
    <row r="8">
      <c r="A8" s="4">
        <v>5</v>
      </c>
      <c r="B8" s="4">
        <v>5296274</v>
      </c>
      <c r="C8" s="5">
        <v>46291</v>
      </c>
    </row>
    <row r="9">
      <c r="A9" s="4">
        <v>6</v>
      </c>
      <c r="B9" s="4">
        <v>5296274</v>
      </c>
      <c r="C9" s="5">
        <v>46294</v>
      </c>
    </row>
    <row r="10">
      <c r="A10" s="4">
        <v>7</v>
      </c>
      <c r="B10" s="4">
        <v>65535</v>
      </c>
      <c r="C10" s="5">
        <v>46301</v>
      </c>
    </row>
    <row r="11">
      <c r="A11" s="4">
        <v>8</v>
      </c>
      <c r="B11" s="4">
        <v>65535</v>
      </c>
      <c r="C11" s="5">
        <v>46302</v>
      </c>
    </row>
    <row r="12">
      <c r="A12" s="4">
        <v>9</v>
      </c>
      <c r="B12" s="4">
        <v>12632256</v>
      </c>
      <c r="C12" s="4"/>
    </row>
    <row r="13">
      <c r="A13" s="4">
        <v>10</v>
      </c>
      <c r="B13" s="4">
        <v>12632256</v>
      </c>
      <c r="C13" s="4"/>
    </row>
    <row r="14">
      <c r="A14" s="4">
        <v>11</v>
      </c>
      <c r="B14" s="4">
        <v>12632256</v>
      </c>
      <c r="C14" s="4"/>
    </row>
    <row r="15">
      <c r="A15" s="4">
        <v>12</v>
      </c>
      <c r="B15" s="4">
        <v>12632256</v>
      </c>
      <c r="C15" s="4"/>
    </row>
  </sheetData>
  <hyperlinks>
    <hyperlink ref="E1" location="'Index'!A144" display="← Index"/>
  </hyperlinks>
  <pageMargins left="0.7" right="0.7" top="0.75" bottom="0.75" header="0.3" footer="0.3"/>
</worksheet>
</file>

<file path=xl/worksheets/sheet131.xml><?xml version="1.0" encoding="utf-8"?>
<worksheet xmlns="http://schemas.openxmlformats.org/spreadsheetml/2006/main" xmlns:r="http://schemas.openxmlformats.org/officeDocument/2006/relationships">
  <dimension ref="A1:L12"/>
  <sheetViews>
    <sheetView workbookViewId="0">
      <selection activeCell="C10" sqref="C10"/>
    </sheetView>
  </sheetViews>
  <sheetFormatPr defaultRowHeight="15"/>
  <cols>
    <col min="1" max="1" width="8.00" customWidth="1"/>
    <col min="2" max="2" width="10.00" customWidth="1"/>
    <col min="3" max="3" width="15.00" customWidth="1"/>
    <col min="4" max="4" width="11.00" customWidth="1"/>
    <col min="5" max="5" width="10.00" customWidth="1"/>
    <col min="6" max="6" width="2.00" customWidth="1"/>
    <col min="7" max="7" width="15.00" customWidth="1"/>
    <col min="8" max="8" width="7.00" customWidth="1"/>
    <col min="9" max="9" width="9.00" customWidth="1"/>
    <col min="10" max="10" width="8.00" customWidth="1"/>
    <col min="12" max="12" width="12.00" customWidth="1"/>
  </cols>
  <sheetData>
    <row r="1">
      <c r="A1" s="1" t="inlineStr">
        <is>
          <t>PLAN PROGRESS TRACKING</t>
        </is>
      </c>
      <c r="L1" s="106" t="inlineStr">
        <is>
          <t>← Index</t>
        </is>
      </c>
    </row>
    <row r="2">
      <c r="A2" s="18" t="inlineStr">
        <is>
          <t>Plan:</t>
        </is>
      </c>
      <c r="B2" s="18" t="inlineStr">
        <is>
          <t>Pile plan</t>
        </is>
      </c>
      <c r="D2" s="18" t="inlineStr">
        <is>
          <t>Data date:</t>
        </is>
      </c>
      <c r="E2" s="61">
        <v>46303</v>
      </c>
      <c r="G2" s="18" t="inlineStr">
        <is>
          <t>Transparency (%)</t>
        </is>
      </c>
      <c r="H2" s="18">
        <v>30</v>
      </c>
    </row>
    <row r="3">
      <c r="G3" s="62" t="inlineStr">
        <is>
          <t>Status</t>
        </is>
      </c>
      <c r="H3" s="62" t="inlineStr">
        <is>
          <t>Colour</t>
        </is>
      </c>
      <c r="I3" s="62" t="inlineStr">
        <is>
          <t>Count</t>
        </is>
      </c>
      <c r="J3" s="62" t="inlineStr">
        <is>
          <t>Share</t>
        </is>
      </c>
    </row>
    <row r="4">
      <c r="A4" s="62" t="inlineStr">
        <is>
          <t>No.</t>
        </is>
      </c>
      <c r="B4" s="62" t="inlineStr">
        <is>
          <t>Shape name</t>
        </is>
      </c>
      <c r="C4" s="62" t="inlineStr">
        <is>
          <t>Status</t>
        </is>
      </c>
      <c r="D4" s="62" t="inlineStr">
        <is>
          <t>Date</t>
        </is>
      </c>
      <c r="E4" s="62" t="inlineStr">
        <is>
          <t>Note</t>
        </is>
      </c>
      <c r="G4" s="4" t="inlineStr">
        <is>
          <t>Not started</t>
        </is>
      </c>
      <c r="H4" s="63"/>
      <c r="I4" s="4">
        <v>3</v>
      </c>
      <c r="J4" s="64">
        <v>0.375</v>
      </c>
    </row>
    <row r="5">
      <c r="A5" s="6">
        <v>1</v>
      </c>
      <c r="B5" s="4" t="inlineStr">
        <is>
          <t>P1</t>
        </is>
      </c>
      <c r="C5" s="4" t="inlineStr">
        <is>
          <t>Accepted</t>
        </is>
      </c>
      <c r="D5" s="12">
        <v>46297</v>
      </c>
      <c r="E5" s="4"/>
      <c r="G5" s="4" t="inlineStr">
        <is>
          <t>In progress</t>
        </is>
      </c>
      <c r="H5" s="65"/>
      <c r="I5" s="4">
        <v>1</v>
      </c>
      <c r="J5" s="64">
        <v>0.125</v>
      </c>
    </row>
    <row r="6">
      <c r="A6" s="6">
        <v>2</v>
      </c>
      <c r="B6" s="4" t="inlineStr">
        <is>
          <t>P2</t>
        </is>
      </c>
      <c r="C6" s="4" t="inlineStr">
        <is>
          <t>Completed</t>
        </is>
      </c>
      <c r="D6" s="12">
        <v>46298</v>
      </c>
      <c r="E6" s="4"/>
      <c r="G6" s="4" t="inlineStr">
        <is>
          <t>Completed</t>
        </is>
      </c>
      <c r="H6" s="66"/>
      <c r="I6" s="4">
        <v>3</v>
      </c>
      <c r="J6" s="64">
        <v>0.375</v>
      </c>
    </row>
    <row r="7">
      <c r="A7" s="6">
        <v>3</v>
      </c>
      <c r="B7" s="4" t="inlineStr">
        <is>
          <t>P3</t>
        </is>
      </c>
      <c r="C7" s="4" t="inlineStr">
        <is>
          <t>Completed</t>
        </is>
      </c>
      <c r="D7" s="12">
        <v>46298</v>
      </c>
      <c r="E7" s="4"/>
      <c r="G7" s="4" t="inlineStr">
        <is>
          <t>Accepted</t>
        </is>
      </c>
      <c r="H7" s="67"/>
      <c r="I7" s="4">
        <v>1</v>
      </c>
      <c r="J7" s="64">
        <v>0.125</v>
      </c>
    </row>
    <row r="8">
      <c r="A8" s="6">
        <v>4</v>
      </c>
      <c r="B8" s="4" t="inlineStr">
        <is>
          <t>P4</t>
        </is>
      </c>
      <c r="C8" s="4" t="inlineStr">
        <is>
          <t>Completed</t>
        </is>
      </c>
      <c r="D8" s="12">
        <v>46300</v>
      </c>
      <c r="E8" s="4"/>
      <c r="G8" s="4"/>
      <c r="H8" s="4"/>
      <c r="I8" s="4"/>
      <c r="J8" s="4"/>
    </row>
    <row r="9">
      <c r="A9" s="6">
        <v>5</v>
      </c>
      <c r="B9" s="4" t="inlineStr">
        <is>
          <t>P5</t>
        </is>
      </c>
      <c r="C9" s="4" t="inlineStr">
        <is>
          <t>In progress</t>
        </is>
      </c>
      <c r="D9" s="12">
        <v>46303</v>
      </c>
      <c r="E9" s="4" t="inlineStr">
        <is>
          <t>Rig no. 2</t>
        </is>
      </c>
      <c r="G9" s="4"/>
      <c r="H9" s="4"/>
      <c r="I9" s="4"/>
      <c r="J9" s="4"/>
    </row>
    <row r="10">
      <c r="A10" s="6">
        <v>6</v>
      </c>
      <c r="B10" s="4" t="inlineStr">
        <is>
          <t>P6</t>
        </is>
      </c>
      <c r="C10" s="4" t="inlineStr">
        <is>
          <t>Not started</t>
        </is>
      </c>
      <c r="D10" s="4"/>
      <c r="E10" s="4"/>
    </row>
    <row r="11">
      <c r="A11" s="6">
        <v>7</v>
      </c>
      <c r="B11" s="4" t="inlineStr">
        <is>
          <t>P7</t>
        </is>
      </c>
      <c r="C11" s="4" t="inlineStr">
        <is>
          <t>Not started</t>
        </is>
      </c>
      <c r="D11" s="4"/>
      <c r="E11" s="4"/>
    </row>
    <row r="12">
      <c r="A12" s="6">
        <v>8</v>
      </c>
      <c r="B12" s="4" t="inlineStr">
        <is>
          <t>P8</t>
        </is>
      </c>
      <c r="C12" s="4" t="inlineStr">
        <is>
          <t>Not started</t>
        </is>
      </c>
      <c r="D12" s="4"/>
      <c r="E12" s="4"/>
    </row>
  </sheetData>
  <hyperlinks>
    <hyperlink ref="L1" location="'Index'!A149" display="← Index"/>
  </hyperlinks>
  <pageMargins left="0.7" right="0.7" top="0.75" bottom="0.75" header="0.3" footer="0.3"/>
</worksheet>
</file>

<file path=xl/worksheets/sheet132.xml><?xml version="1.0" encoding="utf-8"?>
<worksheet xmlns="http://schemas.openxmlformats.org/spreadsheetml/2006/main" xmlns:r="http://schemas.openxmlformats.org/officeDocument/2006/relationships">
  <dimension ref="A1:F6"/>
  <sheetViews>
    <sheetView workbookViewId="0">
      <selection activeCell="D4" sqref="D4:D6"/>
    </sheetView>
  </sheetViews>
  <sheetFormatPr defaultRowHeight="15"/>
  <cols>
    <col min="1" max="1" width="5.00" customWidth="1"/>
    <col min="2" max="2" width="24.00" customWidth="1"/>
    <col min="3" max="3" width="13.00" customWidth="1"/>
    <col min="4" max="4" width="13.00" customWidth="1"/>
    <col min="6" max="6" width="12.00" customWidth="1"/>
  </cols>
  <sheetData>
    <row r="1">
      <c r="A1" s="1" t="inlineStr">
        <is>
          <t>PROGRESS COLOURS — 9-STOREY OFFICE BUILDING</t>
        </is>
      </c>
      <c r="F1" s="106" t="inlineStr">
        <is>
          <t>← Index</t>
        </is>
      </c>
    </row>
    <row r="3">
      <c r="A3" s="3" t="inlineStr">
        <is>
          <t>TT</t>
        </is>
      </c>
      <c r="B3" s="3" t="inlineStr">
        <is>
          <t>Work package</t>
        </is>
      </c>
      <c r="C3" s="3" t="inlineStr">
        <is>
          <t>Standard colour</t>
        </is>
      </c>
      <c r="D3" s="3" t="inlineStr">
        <is>
          <t>Colour code</t>
        </is>
      </c>
    </row>
    <row r="4">
      <c r="A4" s="6">
        <v>1</v>
      </c>
      <c r="B4" s="4" t="inlineStr">
        <is>
          <t>Substructure</t>
        </is>
      </c>
      <c r="C4" s="68"/>
      <c r="D4" s="68"/>
    </row>
    <row r="5">
      <c r="A5" s="6">
        <v>2</v>
      </c>
      <c r="B5" s="4" t="inlineStr">
        <is>
          <t>Superstructure</t>
        </is>
      </c>
      <c r="C5" s="66"/>
      <c r="D5" s="66"/>
    </row>
    <row r="6">
      <c r="A6" s="6">
        <v>3</v>
      </c>
      <c r="B6" s="4" t="inlineStr">
        <is>
          <t>Finishes</t>
        </is>
      </c>
      <c r="C6" s="65"/>
      <c r="D6" s="65"/>
    </row>
  </sheetData>
  <hyperlinks>
    <hyperlink ref="F1" location="'Index'!A150" display="← Index"/>
  </hyperlinks>
  <pageMargins left="0.7" right="0.7" top="0.75" bottom="0.75" header="0.3" footer="0.3"/>
</worksheet>
</file>

<file path=xl/worksheets/sheet133.xml><?xml version="1.0" encoding="utf-8"?>
<worksheet xmlns="http://schemas.openxmlformats.org/spreadsheetml/2006/main" xmlns:r="http://schemas.openxmlformats.org/officeDocument/2006/relationships">
  <dimension ref="A1:G5"/>
  <sheetViews>
    <sheetView workbookViewId="0">
      <selection activeCell="E3" sqref="E3"/>
    </sheetView>
  </sheetViews>
  <sheetFormatPr defaultRowHeight="15"/>
  <cols>
    <col min="1" max="1" width="6.00" customWidth="1"/>
    <col min="2" max="2" width="15.00" customWidth="1"/>
    <col min="3" max="3" width="8.00" customWidth="1"/>
    <col min="4" max="4" width="8.00" customWidth="1"/>
    <col min="5" max="5" width="10.00" customWidth="1"/>
    <col min="7" max="7" width="12.00" customWidth="1"/>
  </cols>
  <sheetData>
    <row r="1">
      <c r="A1" s="1" t="inlineStr">
        <is>
          <t>STT</t>
        </is>
      </c>
      <c r="B1" s="1" t="inlineStr">
        <is>
          <t>Timestamp (ms)</t>
        </is>
      </c>
      <c r="C1" s="1" t="inlineStr">
        <is>
          <t>X</t>
        </is>
      </c>
      <c r="D1" s="1" t="inlineStr">
        <is>
          <t>Y</t>
        </is>
      </c>
      <c r="E1" s="1" t="inlineStr">
        <is>
          <t>Wait (ms)</t>
        </is>
      </c>
      <c r="G1" s="106" t="inlineStr">
        <is>
          <t>← Index</t>
        </is>
      </c>
    </row>
    <row r="2">
      <c r="A2" s="18">
        <v>1</v>
      </c>
      <c r="B2" s="18">
        <v>18452310</v>
      </c>
      <c r="C2" s="18" t="inlineStr">
        <is>
          <t>(record)</t>
        </is>
      </c>
      <c r="D2" s="18" t="inlineStr">
        <is>
          <t>(record)</t>
        </is>
      </c>
      <c r="E2" s="18">
        <v>0</v>
      </c>
    </row>
    <row r="3">
      <c r="A3" s="18">
        <v>2</v>
      </c>
      <c r="B3" s="18">
        <v>18454120</v>
      </c>
      <c r="C3" s="18" t="inlineStr">
        <is>
          <t>(record)</t>
        </is>
      </c>
      <c r="D3" s="18" t="inlineStr">
        <is>
          <t>(record)</t>
        </is>
      </c>
      <c r="E3" s="18">
        <v>1810</v>
      </c>
    </row>
    <row r="4">
      <c r="A4" s="18">
        <v>3</v>
      </c>
      <c r="B4" s="18">
        <v>18455985</v>
      </c>
      <c r="C4" s="18" t="inlineStr">
        <is>
          <t>(record)</t>
        </is>
      </c>
      <c r="D4" s="18" t="inlineStr">
        <is>
          <t>(record)</t>
        </is>
      </c>
      <c r="E4" s="18">
        <v>1865</v>
      </c>
    </row>
    <row r="5">
      <c r="A5" s="18">
        <v>4</v>
      </c>
      <c r="B5" s="18">
        <v>18458410</v>
      </c>
      <c r="C5" s="18" t="inlineStr">
        <is>
          <t>(record)</t>
        </is>
      </c>
      <c r="D5" s="18" t="inlineStr">
        <is>
          <t>(record)</t>
        </is>
      </c>
      <c r="E5" s="18">
        <v>2425</v>
      </c>
    </row>
  </sheetData>
  <hyperlinks>
    <hyperlink ref="G1" location="'Index'!A151" display="← Index"/>
  </hyperlinks>
  <pageMargins left="0.7" right="0.7" top="0.75" bottom="0.75" header="0.3" footer="0.3"/>
</worksheet>
</file>

<file path=xl/worksheets/sheet134.xml><?xml version="1.0" encoding="utf-8"?>
<worksheet xmlns="http://schemas.openxmlformats.org/spreadsheetml/2006/main" xmlns:r="http://schemas.openxmlformats.org/officeDocument/2006/relationships">
  <dimension ref="A1:F15"/>
  <sheetViews>
    <sheetView workbookViewId="0">
      <selection activeCell="C4" sqref="C4:C15"/>
    </sheetView>
  </sheetViews>
  <sheetFormatPr defaultRowHeight="15"/>
  <cols>
    <col min="1" max="1" width="4.00" customWidth="1"/>
    <col min="2" max="2" width="30.00" customWidth="1"/>
    <col min="3" max="3" width="26.00" customWidth="1"/>
    <col min="4" max="4" width="17.00" customWidth="1"/>
    <col min="6" max="6" width="12.00" customWidth="1"/>
  </cols>
  <sheetData>
    <row r="1" ht="19.50" customHeight="1">
      <c r="A1" s="29" t="inlineStr">
        <is>
          <t>SITE PHOTO LOG — WEEK 41/2026</t>
        </is>
      </c>
      <c r="F1" s="106" t="inlineStr">
        <is>
          <t>← Index</t>
        </is>
      </c>
    </row>
    <row r="2">
      <c r="A2" s="48" t="inlineStr">
        <is>
          <t>Project: 9-storey office building</t>
        </is>
      </c>
    </row>
    <row r="3">
      <c r="A3" s="3" t="inlineStr">
        <is>
          <t>No.</t>
        </is>
      </c>
      <c r="B3" s="3" t="inlineStr">
        <is>
          <t>Work item / location</t>
        </is>
      </c>
      <c r="C3" s="3" t="inlineStr">
        <is>
          <t>Site photo</t>
        </is>
      </c>
      <c r="D3" s="3" t="inlineStr">
        <is>
          <t>Remarks</t>
        </is>
      </c>
    </row>
    <row r="4" ht="19.50" customHeight="1">
      <c r="A4" s="6">
        <v>1</v>
      </c>
      <c r="B4" s="47" t="inlineStr">
        <is>
          <t>Rebar fixing, level-3 slab, grid 1-3</t>
        </is>
      </c>
      <c r="C4" s="4"/>
      <c r="D4" s="47" t="inlineStr">
        <is>
          <t>Accepted 06/10</t>
        </is>
      </c>
    </row>
    <row r="5" ht="19.50" customHeight="1">
      <c r="A5" s="4"/>
      <c r="B5" s="4"/>
      <c r="C5" s="4"/>
      <c r="D5" s="4"/>
    </row>
    <row r="6" ht="19.50" customHeight="1">
      <c r="A6" s="4"/>
      <c r="B6" s="4"/>
      <c r="C6" s="4"/>
      <c r="D6" s="4"/>
    </row>
    <row r="7" ht="19.50" customHeight="1">
      <c r="A7" s="6">
        <v>2</v>
      </c>
      <c r="B7" s="47" t="inlineStr">
        <is>
          <t>Beam formwork, level 3, grid A-B</t>
        </is>
      </c>
      <c r="C7" s="4"/>
      <c r="D7" s="47" t="inlineStr">
        <is>
          <t>Awaiting supervisor</t>
        </is>
      </c>
    </row>
    <row r="8" ht="19.50" customHeight="1">
      <c r="A8" s="4"/>
      <c r="B8" s="4"/>
      <c r="C8" s="4"/>
      <c r="D8" s="4"/>
    </row>
    <row r="9" ht="19.50" customHeight="1">
      <c r="A9" s="4"/>
      <c r="B9" s="4"/>
      <c r="C9" s="4"/>
      <c r="D9" s="4"/>
    </row>
    <row r="10" ht="19.50" customHeight="1">
      <c r="A10" s="6">
        <v>3</v>
      </c>
      <c r="B10" s="47" t="inlineStr">
        <is>
          <t>Concreting footing M3, B25</t>
        </is>
      </c>
      <c r="C10" s="4"/>
      <c r="D10" s="47" t="inlineStr">
        <is>
          <t>2 sample sets taken</t>
        </is>
      </c>
    </row>
    <row r="11" ht="19.50" customHeight="1">
      <c r="A11" s="4"/>
      <c r="B11" s="4"/>
      <c r="C11" s="4"/>
      <c r="D11" s="4"/>
    </row>
    <row r="12" ht="19.50" customHeight="1">
      <c r="A12" s="4"/>
      <c r="B12" s="4"/>
      <c r="C12" s="4"/>
      <c r="D12" s="4"/>
    </row>
    <row r="13" ht="19.50" customHeight="1">
      <c r="A13" s="6">
        <v>4</v>
      </c>
      <c r="B13" s="47" t="inlineStr">
        <is>
          <t>External walls, level 2</t>
        </is>
      </c>
      <c r="C13" s="4"/>
      <c r="D13" s="47" t="inlineStr">
        <is>
          <t>Passed</t>
        </is>
      </c>
    </row>
    <row r="14" ht="19.50" customHeight="1">
      <c r="A14" s="4"/>
      <c r="B14" s="4"/>
      <c r="C14" s="4"/>
      <c r="D14" s="4"/>
    </row>
    <row r="15" ht="19.50" customHeight="1">
      <c r="A15" s="4"/>
      <c r="B15" s="4"/>
      <c r="C15" s="4"/>
      <c r="D15" s="4"/>
    </row>
  </sheetData>
  <mergeCells count="17">
    <mergeCell ref="A1:D1"/>
    <mergeCell ref="A4:A6"/>
    <mergeCell ref="B4:B6"/>
    <mergeCell ref="C4:C6"/>
    <mergeCell ref="D4:D6"/>
    <mergeCell ref="A7:A9"/>
    <mergeCell ref="B7:B9"/>
    <mergeCell ref="C7:C9"/>
    <mergeCell ref="D7:D9"/>
    <mergeCell ref="A10:A12"/>
    <mergeCell ref="B10:B12"/>
    <mergeCell ref="C10:C12"/>
    <mergeCell ref="D10:D12"/>
    <mergeCell ref="A13:A15"/>
    <mergeCell ref="B13:B15"/>
    <mergeCell ref="C13:C15"/>
    <mergeCell ref="D13:D15"/>
  </mergeCells>
  <hyperlinks>
    <hyperlink ref="F1" location="'Index'!A152" display="← Index"/>
  </hyperlinks>
  <pageMargins left="0.7" right="0.7" top="0.75" bottom="0.75" header="0.3" footer="0.3"/>
</worksheet>
</file>

<file path=xl/worksheets/sheet135.xml><?xml version="1.0" encoding="utf-8"?>
<worksheet xmlns="http://schemas.openxmlformats.org/spreadsheetml/2006/main" xmlns:r="http://schemas.openxmlformats.org/officeDocument/2006/relationships">
  <dimension ref="A1:F7"/>
  <sheetViews>
    <sheetView workbookViewId="0">
      <selection activeCell="B4" sqref="B4:B7"/>
    </sheetView>
  </sheetViews>
  <sheetFormatPr defaultRowHeight="15"/>
  <cols>
    <col min="1" max="1" width="4.00" customWidth="1"/>
    <col min="2" max="2" width="22.00" customWidth="1"/>
    <col min="3" max="3" width="26.00" customWidth="1"/>
    <col min="4" max="4" width="14.00" customWidth="1"/>
    <col min="6" max="6" width="12.00" customWidth="1"/>
  </cols>
  <sheetData>
    <row r="1" ht="19.50" customHeight="1">
      <c r="A1" s="29" t="inlineStr">
        <is>
          <t>PRECAST ELEMENT PHOTO LOG</t>
        </is>
      </c>
      <c r="F1" s="106" t="inlineStr">
        <is>
          <t>← Index</t>
        </is>
      </c>
    </row>
    <row r="2">
      <c r="A2" s="48" t="inlineStr">
        <is>
          <t>Project: 9-storey office building</t>
        </is>
      </c>
    </row>
    <row r="3">
      <c r="A3" s="3" t="inlineStr">
        <is>
          <t>No.</t>
        </is>
      </c>
      <c r="B3" s="3" t="inlineStr">
        <is>
          <t>Element code (photo name)</t>
        </is>
      </c>
      <c r="C3" s="3" t="inlineStr">
        <is>
          <t>Photo</t>
        </is>
      </c>
      <c r="D3" s="3" t="inlineStr">
        <is>
          <t>Cast on</t>
        </is>
      </c>
    </row>
    <row r="4" ht="36.00" customHeight="1">
      <c r="A4" s="6">
        <v>1</v>
      </c>
      <c r="B4" s="4" t="inlineStr">
        <is>
          <t>CK-001</t>
        </is>
      </c>
      <c r="C4" s="4"/>
      <c r="D4" s="5">
        <v>46297</v>
      </c>
    </row>
    <row r="5" ht="36.00" customHeight="1">
      <c r="A5" s="6">
        <v>2</v>
      </c>
      <c r="B5" s="4" t="inlineStr">
        <is>
          <t>CK-002</t>
        </is>
      </c>
      <c r="C5" s="4"/>
      <c r="D5" s="5">
        <v>46298</v>
      </c>
    </row>
    <row r="6" ht="36.00" customHeight="1">
      <c r="A6" s="6">
        <v>3</v>
      </c>
      <c r="B6" s="4" t="inlineStr">
        <is>
          <t>CK-003.jpg</t>
        </is>
      </c>
      <c r="C6" s="4"/>
      <c r="D6" s="5">
        <v>46300</v>
      </c>
    </row>
    <row r="7" ht="36.00" customHeight="1">
      <c r="A7" s="6">
        <v>4</v>
      </c>
      <c r="B7" s="4" t="inlineStr">
        <is>
          <t>CK-004</t>
        </is>
      </c>
      <c r="C7" s="4"/>
      <c r="D7" s="5">
        <v>46301</v>
      </c>
    </row>
  </sheetData>
  <mergeCells count="1">
    <mergeCell ref="A1:D1"/>
  </mergeCells>
  <hyperlinks>
    <hyperlink ref="F1" location="'Index'!A153" display="← Index"/>
  </hyperlinks>
  <pageMargins left="0.7" right="0.7" top="0.75" bottom="0.75" header="0.3" footer="0.3"/>
</worksheet>
</file>

<file path=xl/worksheets/sheet136.xml><?xml version="1.0" encoding="utf-8"?>
<worksheet xmlns="http://schemas.openxmlformats.org/spreadsheetml/2006/main" xmlns:r="http://schemas.openxmlformats.org/officeDocument/2006/relationships">
  <dimension ref="A1:J7"/>
  <sheetViews>
    <sheetView workbookViewId="0">
      <selection activeCell="F4" sqref="F4"/>
    </sheetView>
  </sheetViews>
  <sheetFormatPr defaultRowHeight="15"/>
  <cols>
    <col min="1" max="1" width="4.00" customWidth="1"/>
    <col min="2" max="2" width="16.00" customWidth="1"/>
    <col min="3" max="3" width="10.00" customWidth="1"/>
    <col min="4" max="4" width="9.00" customWidth="1"/>
    <col min="5" max="5" width="9.00" customWidth="1"/>
    <col min="6" max="6" width="24.00" customWidth="1"/>
    <col min="7" max="7" width="12.00" customWidth="1"/>
    <col min="8" max="8" width="12.00" customWidth="1"/>
    <col min="10" max="10" width="12.00" customWidth="1"/>
  </cols>
  <sheetData>
    <row r="1">
      <c r="A1" s="1" t="inlineStr">
        <is>
          <t>LEVEL-2 SLAB REBAR SCHEDULE</t>
        </is>
      </c>
      <c r="J1" s="106" t="inlineStr">
        <is>
          <t>← Index</t>
        </is>
      </c>
    </row>
    <row r="3">
      <c r="A3" s="3" t="inlineStr">
        <is>
          <t>No.</t>
        </is>
      </c>
      <c r="B3" s="3" t="inlineStr">
        <is>
          <t>Slab bay</t>
        </is>
      </c>
      <c r="C3" s="3" t="inlineStr">
        <is>
          <t>Bars</t>
        </is>
      </c>
      <c r="D3" s="3" t="inlineStr">
        <is>
          <t>Count</t>
        </is>
      </c>
      <c r="E3" s="3" t="inlineStr">
        <is>
          <t>KL (kg)</t>
        </is>
      </c>
      <c r="F3" s="3" t="inlineStr">
        <is>
          <t>Site remark</t>
        </is>
      </c>
    </row>
    <row r="4">
      <c r="A4" s="6">
        <v>1</v>
      </c>
      <c r="B4" s="4" t="inlineStr">
        <is>
          <t>Grid A-B / 1-2</t>
        </is>
      </c>
      <c r="C4" s="6" t="inlineStr">
        <is>
          <t>Ø10a150</t>
        </is>
      </c>
      <c r="D4" s="4">
        <v>86</v>
      </c>
      <c r="E4" s="32">
        <v>212.4</v>
      </c>
      <c r="F4" s="4" t="inlineStr">
        <is>
          <t>Bottom mesh</t>
        </is>
      </c>
    </row>
    <row r="5">
      <c r="A5" s="6">
        <v>2</v>
      </c>
      <c r="B5" s="4" t="inlineStr">
        <is>
          <t>Grid B-C / 1-2</t>
        </is>
      </c>
      <c r="C5" s="6" t="inlineStr">
        <is>
          <t>Ø10a150</t>
        </is>
      </c>
      <c r="D5" s="4">
        <v>86</v>
      </c>
      <c r="E5" s="32">
        <v>212.4</v>
      </c>
      <c r="F5" s="4"/>
    </row>
    <row r="6">
      <c r="A6" s="6">
        <v>3</v>
      </c>
      <c r="B6" s="4" t="inlineStr">
        <is>
          <t>Grid A-B / 2-3</t>
        </is>
      </c>
      <c r="C6" s="6" t="inlineStr">
        <is>
          <t>Ø12a200</t>
        </is>
      </c>
      <c r="D6" s="4">
        <v>64</v>
      </c>
      <c r="E6" s="32">
        <v>227.3</v>
      </c>
      <c r="F6" s="4"/>
    </row>
    <row r="7">
      <c r="A7" s="6">
        <v>4</v>
      </c>
      <c r="B7" s="4" t="inlineStr">
        <is>
          <t>Grid B-C / 2-3</t>
        </is>
      </c>
      <c r="C7" s="6" t="inlineStr">
        <is>
          <t>Ø12a200</t>
        </is>
      </c>
      <c r="D7" s="4">
        <v>64</v>
      </c>
      <c r="E7" s="32">
        <v>227.3</v>
      </c>
      <c r="F7" s="4"/>
    </row>
  </sheetData>
  <hyperlinks>
    <hyperlink ref="J1" location="'Index'!A154" display="← Index"/>
  </hyperlinks>
  <pageMargins left="0.7" right="0.7" top="0.75" bottom="0.75" header="0.3" footer="0.3"/>
</worksheet>
</file>

<file path=xl/worksheets/sheet137.xml><?xml version="1.0" encoding="utf-8"?>
<worksheet xmlns="http://schemas.openxmlformats.org/spreadsheetml/2006/main" xmlns:r="http://schemas.openxmlformats.org/officeDocument/2006/relationships">
  <dimension ref="A1:G8"/>
  <sheetViews>
    <sheetView workbookViewId="0">
      <selection activeCell="A4" sqref="A4:A8"/>
    </sheetView>
  </sheetViews>
  <sheetFormatPr defaultRowHeight="15"/>
  <cols>
    <col min="1" max="1" width="11.00" customWidth="1"/>
    <col min="2" max="2" width="30.00" customWidth="1"/>
    <col min="3" max="3" width="14.00" customWidth="1"/>
    <col min="4" max="4" width="12.00" customWidth="1"/>
    <col min="5" max="5" width="10.00" customWidth="1"/>
    <col min="7" max="7" width="12.00" customWidth="1"/>
  </cols>
  <sheetData>
    <row r="1">
      <c r="A1" s="1" t="inlineStr">
        <is>
          <t>LEVEL-5 MASONRY INSPECTION REGISTER</t>
        </is>
      </c>
      <c r="G1" s="106" t="inlineStr">
        <is>
          <t>← Index</t>
        </is>
      </c>
    </row>
    <row r="3">
      <c r="A3" s="3" t="inlineStr">
        <is>
          <t>Record</t>
        </is>
      </c>
      <c r="B3" s="3" t="inlineStr">
        <is>
          <t>Work</t>
        </is>
      </c>
      <c r="C3" s="3" t="inlineStr">
        <is>
          <t>Location</t>
        </is>
      </c>
      <c r="D3" s="3" t="inlineStr">
        <is>
          <t>Date</t>
        </is>
      </c>
      <c r="E3" s="3" t="inlineStr">
        <is>
          <t>Result</t>
        </is>
      </c>
    </row>
    <row r="4">
      <c r="A4" s="4" t="inlineStr">
        <is>
          <t>NT-501</t>
        </is>
      </c>
      <c r="B4" s="4" t="inlineStr">
        <is>
          <t>220 mm brick wall</t>
        </is>
      </c>
      <c r="C4" s="4" t="inlineStr">
        <is>
          <t>Grid 1-2</t>
        </is>
      </c>
      <c r="D4" s="5">
        <v>46296</v>
      </c>
      <c r="E4" s="6" t="inlineStr">
        <is>
          <t>Pass</t>
        </is>
      </c>
    </row>
    <row r="5">
      <c r="A5" s="4" t="inlineStr">
        <is>
          <t>NT-502</t>
        </is>
      </c>
      <c r="B5" s="4" t="inlineStr">
        <is>
          <t>220 mm brick wall</t>
        </is>
      </c>
      <c r="C5" s="4" t="inlineStr">
        <is>
          <t>Grid 2-3</t>
        </is>
      </c>
      <c r="D5" s="5">
        <v>46297</v>
      </c>
      <c r="E5" s="6" t="inlineStr">
        <is>
          <t>Pass</t>
        </is>
      </c>
    </row>
    <row r="6">
      <c r="A6" s="4" t="inlineStr">
        <is>
          <t>NT-503</t>
        </is>
      </c>
      <c r="B6" s="4" t="inlineStr">
        <is>
          <t>110 mm brick wall</t>
        </is>
      </c>
      <c r="C6" s="4" t="inlineStr">
        <is>
          <t>Grid A-B</t>
        </is>
      </c>
      <c r="D6" s="5">
        <v>46298</v>
      </c>
      <c r="E6" s="6" t="inlineStr">
        <is>
          <t>Pass</t>
        </is>
      </c>
    </row>
    <row r="7">
      <c r="A7" s="4" t="inlineStr">
        <is>
          <t>NT-504</t>
        </is>
      </c>
      <c r="B7" s="4" t="inlineStr">
        <is>
          <t>Door lintels</t>
        </is>
      </c>
      <c r="C7" s="4" t="inlineStr">
        <is>
          <t>Grid B-C</t>
        </is>
      </c>
      <c r="D7" s="5">
        <v>46300</v>
      </c>
      <c r="E7" s="6" t="inlineStr">
        <is>
          <t>Pass</t>
        </is>
      </c>
    </row>
    <row r="8">
      <c r="A8" s="4" t="inlineStr">
        <is>
          <t>NT-505</t>
        </is>
      </c>
      <c r="B8" s="4" t="inlineStr">
        <is>
          <t>Internal plastering</t>
        </is>
      </c>
      <c r="C8" s="4" t="inlineStr">
        <is>
          <t>Grid 1-3</t>
        </is>
      </c>
      <c r="D8" s="5">
        <v>46302</v>
      </c>
      <c r="E8" s="6" t="inlineStr">
        <is>
          <t>Pending</t>
        </is>
      </c>
    </row>
  </sheetData>
  <hyperlinks>
    <hyperlink ref="G1" location="'Index'!A155" display="← Index"/>
  </hyperlinks>
  <pageMargins left="0.7" right="0.7" top="0.75" bottom="0.75" header="0.3" footer="0.3"/>
</worksheet>
</file>

<file path=xl/worksheets/sheet138.xml><?xml version="1.0" encoding="utf-8"?>
<worksheet xmlns="http://schemas.openxmlformats.org/spreadsheetml/2006/main" xmlns:r="http://schemas.openxmlformats.org/officeDocument/2006/relationships">
  <dimension ref="A1:G11"/>
  <sheetViews>
    <sheetView workbookViewId="0"/>
  </sheetViews>
  <sheetFormatPr defaultRowHeight="15"/>
  <cols>
    <col min="1" max="1" width="11.00" customWidth="1"/>
    <col min="2" max="2" width="24.00" customWidth="1"/>
    <col min="3" max="3" width="24.00" customWidth="1"/>
    <col min="4" max="4" width="22.00" customWidth="1"/>
    <col min="5" max="5" width="10.00" customWidth="1"/>
    <col min="7" max="7" width="12.00" customWidth="1"/>
  </cols>
  <sheetData>
    <row r="1">
      <c r="A1" s="1" t="inlineStr">
        <is>
          <t>SITE DIARY — WEEK 41/2026</t>
        </is>
      </c>
      <c r="G1" s="106" t="inlineStr">
        <is>
          <t>← Index</t>
        </is>
      </c>
    </row>
    <row r="3">
      <c r="A3" s="3" t="inlineStr">
        <is>
          <t>Date</t>
        </is>
      </c>
      <c r="B3" s="3" t="inlineStr">
        <is>
          <t>Work</t>
        </is>
      </c>
      <c r="C3" s="3" t="inlineStr">
        <is>
          <t>Photo</t>
        </is>
      </c>
      <c r="D3" s="3" t="inlineStr">
        <is>
          <t>Remarks</t>
        </is>
      </c>
    </row>
    <row r="4" ht="18.00" customHeight="1">
      <c r="A4" s="5">
        <v>46301</v>
      </c>
      <c r="B4" s="47" t="inlineStr">
        <is>
          <t>Concreting footing M2, B25</t>
        </is>
      </c>
      <c r="C4" s="69" t="inlineStr">
        <is>
          <t>📷 M2.jpg</t>
        </is>
      </c>
      <c r="D4" s="4" t="inlineStr">
        <is>
          <t>18 m³ — 2 sample sets</t>
        </is>
      </c>
    </row>
    <row r="5" ht="18.00" customHeight="1">
      <c r="A5" s="4"/>
      <c r="B5" s="4"/>
      <c r="C5" s="4"/>
      <c r="D5" s="4"/>
    </row>
    <row r="6" ht="18.00" customHeight="1">
      <c r="A6" s="4"/>
      <c r="B6" s="4"/>
      <c r="C6" s="4"/>
      <c r="D6" s="4"/>
    </row>
    <row r="7" ht="18.00" customHeight="1">
      <c r="A7" s="4"/>
      <c r="B7" s="4"/>
      <c r="C7" s="4"/>
      <c r="D7" s="4"/>
    </row>
    <row r="8" ht="18.00" customHeight="1">
      <c r="A8" s="5">
        <v>46302</v>
      </c>
      <c r="B8" s="47" t="inlineStr">
        <is>
          <t>Concreting footing M3, B25</t>
        </is>
      </c>
      <c r="C8" s="4"/>
      <c r="D8" s="4" t="inlineStr">
        <is>
          <t>21 m³ — 2 sample sets</t>
        </is>
      </c>
    </row>
    <row r="9" ht="18.00" customHeight="1">
      <c r="A9" s="4"/>
      <c r="B9" s="4"/>
      <c r="C9" s="4"/>
      <c r="D9" s="70" t="inlineStr">
        <is>
          <t>📷 M3.jpg</t>
        </is>
      </c>
    </row>
    <row r="10" ht="18.00" customHeight="1">
      <c r="A10" s="4"/>
      <c r="B10" s="4"/>
      <c r="C10" s="4"/>
    </row>
    <row r="11" ht="18.00" customHeight="1">
      <c r="A11" s="4"/>
      <c r="B11" s="4"/>
      <c r="C11" s="4"/>
    </row>
  </sheetData>
  <mergeCells count="7">
    <mergeCell ref="A4:A7"/>
    <mergeCell ref="B4:B7"/>
    <mergeCell ref="C4:C7"/>
    <mergeCell ref="A8:A11"/>
    <mergeCell ref="B8:B11"/>
    <mergeCell ref="C8:C11"/>
    <mergeCell ref="D9:E12"/>
  </mergeCells>
  <hyperlinks>
    <hyperlink ref="G1" location="'Index'!A156" display="← Index"/>
  </hyperlinks>
  <pageMargins left="0.7" right="0.7" top="0.75" bottom="0.75" header="0.3" footer="0.3"/>
</worksheet>
</file>

<file path=xl/worksheets/sheet139.xml><?xml version="1.0" encoding="utf-8"?>
<worksheet xmlns="http://schemas.openxmlformats.org/spreadsheetml/2006/main" xmlns:r="http://schemas.openxmlformats.org/officeDocument/2006/relationships">
  <dimension ref="A1:F8"/>
  <sheetViews>
    <sheetView workbookViewId="0">
      <selection activeCell="B9" sqref="B9"/>
    </sheetView>
  </sheetViews>
  <sheetFormatPr defaultRowHeight="15"/>
  <cols>
    <col min="1" max="1" width="4.00" customWidth="1"/>
    <col min="2" max="2" width="30.00" customWidth="1"/>
    <col min="3" max="3" width="24.00" customWidth="1"/>
    <col min="4" max="4" width="20.00" customWidth="1"/>
    <col min="6" max="6" width="12.00" customWidth="1"/>
  </cols>
  <sheetData>
    <row r="1">
      <c r="A1" s="29" t="inlineStr">
        <is>
          <t>WEEKLY SITE MEETING MINUTES — WEEK 41/2026</t>
        </is>
      </c>
      <c r="F1" s="106" t="inlineStr">
        <is>
          <t>← Index</t>
        </is>
      </c>
    </row>
    <row r="2">
      <c r="A2" s="48" t="inlineStr">
        <is>
          <t>Project: 9-storey office building</t>
        </is>
      </c>
    </row>
    <row r="4">
      <c r="A4" s="71" t="inlineStr">
        <is>
          <t>1.</t>
        </is>
      </c>
      <c r="B4" s="18" t="inlineStr">
        <is>
          <t>Foundation progress: 85 % of plan.</t>
        </is>
      </c>
    </row>
    <row r="5">
      <c r="A5" s="71" t="inlineStr">
        <is>
          <t>2.</t>
        </is>
      </c>
      <c r="B5" s="18" t="inlineStr">
        <is>
          <t>Supervisor: pile-cap ĐM-4 bottom level on the shop drawing differs from design.</t>
        </is>
      </c>
    </row>
    <row r="6">
      <c r="A6" s="71" t="inlineStr">
        <is>
          <t>3.</t>
        </is>
      </c>
      <c r="B6" s="18" t="inlineStr">
        <is>
          <t>Contractor to check and resubmit before 10/10/2026.</t>
        </is>
      </c>
    </row>
    <row r="8">
      <c r="B8" s="1" t="inlineStr">
        <is>
          <t>Illustration:</t>
        </is>
      </c>
    </row>
  </sheetData>
  <mergeCells count="1">
    <mergeCell ref="A1:D1"/>
  </mergeCells>
  <hyperlinks>
    <hyperlink ref="F1" location="'Index'!A157" display="← Index"/>
  </hyperlinks>
  <pageMargins left="0.7" right="0.7" top="0.75" bottom="0.75" header="0.3" footer="0.3"/>
</worksheet>
</file>

<file path=xl/worksheets/sheet140.xml><?xml version="1.0" encoding="utf-8"?>
<worksheet xmlns="http://schemas.openxmlformats.org/spreadsheetml/2006/main" xmlns:r="http://schemas.openxmlformats.org/officeDocument/2006/relationships">
  <dimension ref="A1:K12"/>
  <sheetViews>
    <sheetView workbookViewId="0"/>
  </sheetViews>
  <sheetFormatPr defaultRowHeight="15"/>
  <cols>
    <col min="1" max="1" width="3.00" customWidth="1"/>
    <col min="2" max="2" width="5.00" customWidth="1"/>
    <col min="3" max="3" width="5.00" customWidth="1"/>
    <col min="4" max="4" width="5.00" customWidth="1"/>
    <col min="5" max="5" width="5.00" customWidth="1"/>
    <col min="6" max="6" width="5.00" customWidth="1"/>
    <col min="7" max="7" width="5.00" customWidth="1"/>
    <col min="8" max="8" width="5.00" customWidth="1"/>
    <col min="9" max="9" width="5.00" customWidth="1"/>
    <col min="11" max="11" width="12.00" customWidth="1"/>
  </cols>
  <sheetData>
    <row r="1">
      <c r="A1" s="1" t="inlineStr">
        <is>
          <t>LEVEL-3 SLAB REBAR — STRENGTHENING ZONE</t>
        </is>
      </c>
      <c r="K1" s="106" t="inlineStr">
        <is>
          <t>← Index</t>
        </is>
      </c>
    </row>
    <row r="3" ht="19.50" customHeight="1">
      <c r="B3" s="72"/>
      <c r="C3" s="72"/>
      <c r="D3" s="72"/>
      <c r="E3" s="72"/>
      <c r="F3" s="72"/>
      <c r="G3" s="72"/>
      <c r="H3" s="72"/>
    </row>
    <row r="4" ht="19.50" customHeight="1">
      <c r="B4" s="72"/>
      <c r="C4" s="72"/>
      <c r="D4" s="72"/>
      <c r="E4" s="72"/>
      <c r="F4" s="72"/>
      <c r="G4" s="72"/>
      <c r="H4" s="72"/>
    </row>
    <row r="5" ht="19.50" customHeight="1">
      <c r="B5" s="72"/>
      <c r="C5" s="72"/>
      <c r="D5" s="72"/>
      <c r="E5" s="72"/>
      <c r="F5" s="72"/>
      <c r="G5" s="72"/>
      <c r="H5" s="72"/>
    </row>
    <row r="6" ht="19.50" customHeight="1">
      <c r="B6" s="72"/>
      <c r="C6" s="72"/>
      <c r="D6" s="72"/>
    </row>
    <row r="7" ht="19.50" customHeight="1">
      <c r="B7" s="73" t="inlineStr">
        <is>
          <t>Extra bars</t>
        </is>
      </c>
      <c r="C7" s="72"/>
      <c r="D7" s="72"/>
      <c r="F7" s="74" t="inlineStr">
        <is>
          <t>OPENING</t>
        </is>
      </c>
      <c r="G7" s="4"/>
    </row>
    <row r="8" ht="19.50" customHeight="1">
      <c r="B8" s="73" t="inlineStr">
        <is>
          <t>Ø12a100</t>
        </is>
      </c>
      <c r="C8" s="72"/>
      <c r="D8" s="72"/>
      <c r="F8" s="4"/>
      <c r="G8" s="4"/>
    </row>
    <row r="9" ht="19.50" customHeight="1">
      <c r="B9" s="72"/>
      <c r="C9" s="72"/>
      <c r="D9" s="72"/>
      <c r="F9" s="4"/>
      <c r="G9" s="4"/>
    </row>
    <row r="10" ht="19.50" customHeight="1">
      <c r="B10" s="72"/>
      <c r="C10" s="72"/>
      <c r="D10" s="72"/>
    </row>
    <row r="11" ht="19.50" customHeight="1">
      <c r="B11" s="72"/>
      <c r="C11" s="72"/>
      <c r="D11" s="72"/>
    </row>
    <row r="12" ht="19.50" customHeight="1"/>
  </sheetData>
  <mergeCells count="1">
    <mergeCell ref="F7:G9"/>
  </mergeCells>
  <hyperlinks>
    <hyperlink ref="K1" location="'Index'!A159" display="← Index"/>
  </hyperlinks>
  <pageMargins left="0.7" right="0.7" top="0.75" bottom="0.75" header="0.3" footer="0.3"/>
</worksheet>
</file>

<file path=xl/worksheets/sheet141.xml><?xml version="1.0" encoding="utf-8"?>
<worksheet xmlns="http://schemas.openxmlformats.org/spreadsheetml/2006/main" xmlns:r="http://schemas.openxmlformats.org/officeDocument/2006/relationships">
  <dimension ref="A1:I11"/>
  <sheetViews>
    <sheetView workbookViewId="0">
      <selection activeCell="A11" sqref="A11:F11"/>
    </sheetView>
  </sheetViews>
  <sheetFormatPr defaultRowHeight="15"/>
  <cols>
    <col min="1" max="1" width="4.00" customWidth="1"/>
    <col min="2" max="2" width="10.00" customWidth="1"/>
    <col min="3" max="3" width="32.00" customWidth="1"/>
    <col min="4" max="4" width="7.00" customWidth="1"/>
    <col min="5" max="5" width="9.00" customWidth="1"/>
    <col min="6" max="6" width="9.00" customWidth="1"/>
    <col min="7" max="7" width="3.00" customWidth="1"/>
    <col min="9" max="9" width="12.00" customWidth="1"/>
  </cols>
  <sheetData>
    <row r="1">
      <c r="A1" s="1" t="inlineStr">
        <is>
          <t>INTERIM PAYMENT 3 — QUANTITIES</t>
        </is>
      </c>
      <c r="I1" s="106" t="inlineStr">
        <is>
          <t>← Index</t>
        </is>
      </c>
    </row>
    <row r="2">
      <c r="A2" s="48" t="inlineStr">
        <is>
          <t>Project: 9-storey office building</t>
        </is>
      </c>
    </row>
    <row r="3">
      <c r="A3" s="3" t="inlineStr">
        <is>
          <t>No.</t>
        </is>
      </c>
      <c r="B3" s="3" t="inlineStr">
        <is>
          <t>Code</t>
        </is>
      </c>
      <c r="C3" s="3" t="inlineStr">
        <is>
          <t>Description</t>
        </is>
      </c>
      <c r="D3" s="3" t="inlineStr">
        <is>
          <t>Unit</t>
        </is>
      </c>
      <c r="E3" s="3" t="inlineStr">
        <is>
          <t>IPC 2</t>
        </is>
      </c>
      <c r="F3" s="3" t="inlineStr">
        <is>
          <t>IPC 3</t>
        </is>
      </c>
    </row>
    <row r="4">
      <c r="A4" s="6">
        <v>1</v>
      </c>
      <c r="B4" s="4" t="inlineStr">
        <is>
          <t>AB.25112</t>
        </is>
      </c>
      <c r="C4" s="4" t="inlineStr">
        <is>
          <t>Machine excavation, soil class II</t>
        </is>
      </c>
      <c r="D4" s="6" t="inlineStr">
        <is>
          <t>m³</t>
        </is>
      </c>
      <c r="E4" s="32">
        <v>412.5</v>
      </c>
      <c r="F4" s="32">
        <v>412.5</v>
      </c>
    </row>
    <row r="5">
      <c r="A5" s="75">
        <v>2</v>
      </c>
      <c r="B5" s="76" t="inlineStr">
        <is>
          <t>AF.11114</t>
        </is>
      </c>
      <c r="C5" s="76" t="inlineStr">
        <is>
          <t>Blinding concrete M100</t>
        </is>
      </c>
      <c r="D5" s="75" t="inlineStr">
        <is>
          <t>m³</t>
        </is>
      </c>
      <c r="E5" s="77">
        <v>18.6</v>
      </c>
      <c r="F5" s="78">
        <v>21.3</v>
      </c>
    </row>
    <row r="6">
      <c r="A6" s="6">
        <v>3</v>
      </c>
      <c r="B6" s="4" t="inlineStr">
        <is>
          <t>AF.22224</t>
        </is>
      </c>
      <c r="C6" s="4" t="inlineStr">
        <is>
          <t>Footing concrete M300</t>
        </is>
      </c>
      <c r="D6" s="6" t="inlineStr">
        <is>
          <t>m³</t>
        </is>
      </c>
      <c r="E6" s="32">
        <v>186.4</v>
      </c>
      <c r="F6" s="32">
        <v>186.4</v>
      </c>
    </row>
    <row r="7">
      <c r="A7" s="6">
        <v>4</v>
      </c>
      <c r="B7" s="4" t="inlineStr">
        <is>
          <t>AF.61120</t>
        </is>
      </c>
      <c r="C7" s="4" t="inlineStr">
        <is>
          <t>Footing rebar Ø ≤ 18 mm</t>
        </is>
      </c>
      <c r="D7" s="6" t="inlineStr">
        <is>
          <t>t</t>
        </is>
      </c>
      <c r="E7" s="11">
        <v>14.82</v>
      </c>
      <c r="F7" s="11">
        <v>14.82</v>
      </c>
    </row>
    <row r="8">
      <c r="A8" s="75">
        <v>5</v>
      </c>
      <c r="B8" s="76" t="inlineStr">
        <is>
          <t>AF.81111</t>
        </is>
      </c>
      <c r="C8" s="76" t="inlineStr">
        <is>
          <t>Footing formwork</t>
        </is>
      </c>
      <c r="D8" s="75" t="inlineStr">
        <is>
          <t>100m²</t>
        </is>
      </c>
      <c r="E8" s="79">
        <v>3.46</v>
      </c>
      <c r="F8" s="80">
        <v>3.92</v>
      </c>
    </row>
    <row r="9">
      <c r="A9" s="6">
        <v>6</v>
      </c>
      <c r="B9" s="4" t="inlineStr">
        <is>
          <t>AE.22214</t>
        </is>
      </c>
      <c r="C9" s="4" t="inlineStr">
        <is>
          <t>220 mm brick wall, mortar M75</t>
        </is>
      </c>
      <c r="D9" s="6" t="inlineStr">
        <is>
          <t>m³</t>
        </is>
      </c>
      <c r="E9" s="32">
        <v>96</v>
      </c>
      <c r="F9" s="32">
        <v>96</v>
      </c>
    </row>
    <row r="10">
      <c r="A10" s="6">
        <v>7</v>
      </c>
      <c r="B10" s="4" t="inlineStr">
        <is>
          <t>AK.21224</t>
        </is>
      </c>
      <c r="C10" s="4" t="inlineStr">
        <is>
          <t>Internal plaster 15 mm</t>
        </is>
      </c>
      <c r="D10" s="6" t="inlineStr">
        <is>
          <t>m²</t>
        </is>
      </c>
      <c r="E10" s="33">
        <v>1240</v>
      </c>
      <c r="F10" s="33">
        <v>1240</v>
      </c>
    </row>
    <row r="11">
      <c r="A11" s="6">
        <v>8</v>
      </c>
      <c r="B11" s="4" t="inlineStr">
        <is>
          <t>AK.84114</t>
        </is>
      </c>
      <c r="C11" s="4" t="inlineStr">
        <is>
          <t>Internal paint, 1 primer + 2 coats</t>
        </is>
      </c>
      <c r="D11" s="6" t="inlineStr">
        <is>
          <t>m²</t>
        </is>
      </c>
      <c r="E11" s="33">
        <v>1240</v>
      </c>
      <c r="F11" s="49">
        <v>1315</v>
      </c>
    </row>
  </sheetData>
  <hyperlinks>
    <hyperlink ref="I1" location="'Index'!A160" display="← Index"/>
  </hyperlinks>
  <pageMargins left="0.7" right="0.7" top="0.75" bottom="0.75" header="0.3" footer="0.3"/>
</worksheet>
</file>

<file path=xl/worksheets/sheet142.xml><?xml version="1.0" encoding="utf-8"?>
<worksheet xmlns="http://schemas.openxmlformats.org/spreadsheetml/2006/main" xmlns:r="http://schemas.openxmlformats.org/officeDocument/2006/relationships">
  <dimension ref="A1:H3"/>
  <sheetViews>
    <sheetView workbookViewId="0">
      <selection activeCell="A5" sqref="A5"/>
    </sheetView>
  </sheetViews>
  <sheetFormatPr defaultRowHeight="15"/>
  <cols>
    <col min="1" max="1" width="9.00" customWidth="1"/>
    <col min="2" max="2" width="9.00" customWidth="1"/>
    <col min="3" max="3" width="9.00" customWidth="1"/>
    <col min="4" max="4" width="9.00" customWidth="1"/>
    <col min="5" max="5" width="9.00" customWidth="1"/>
    <col min="6" max="6" width="9.00" customWidth="1"/>
    <col min="8" max="8" width="12.00" customWidth="1"/>
  </cols>
  <sheetData>
    <row r="1">
      <c r="A1" s="1" t="inlineStr">
        <is>
          <t>SHOP DRAWING REGISTER — STRUCTURAL PACKAGE</t>
        </is>
      </c>
      <c r="H1" s="106" t="inlineStr">
        <is>
          <t>← Index</t>
        </is>
      </c>
    </row>
    <row r="2">
      <c r="A2" s="18" t="inlineStr">
        <is>
          <t>Project: 9-storey office building</t>
        </is>
      </c>
    </row>
    <row r="3">
      <c r="A3" s="48" t="inlineStr">
        <is>
          <t>Attached to transmittal No. 15/2026</t>
        </is>
      </c>
    </row>
  </sheetData>
  <hyperlinks>
    <hyperlink ref="H1" location="'Index'!A167" display="← Index"/>
  </hyperlinks>
  <pageMargins left="0.7" right="0.7" top="0.75" bottom="0.75" header="0.3" footer="0.3"/>
</worksheet>
</file>

<file path=xl/worksheets/sheet143.xml><?xml version="1.0" encoding="utf-8"?>
<worksheet xmlns="http://schemas.openxmlformats.org/spreadsheetml/2006/main" xmlns:r="http://schemas.openxmlformats.org/officeDocument/2006/relationships">
  <dimension ref="A1:G15"/>
  <sheetViews>
    <sheetView workbookViewId="0">
      <selection activeCell="A3" sqref="A3:E15"/>
    </sheetView>
  </sheetViews>
  <sheetFormatPr defaultRowHeight="15"/>
  <cols>
    <col min="1" max="1" width="5.00" customWidth="1"/>
    <col min="2" max="2" width="14.00" customWidth="1"/>
    <col min="3" max="3" width="32.00" customWidth="1"/>
    <col min="4" max="4" width="7.00" customWidth="1"/>
    <col min="5" max="5" width="11.00" customWidth="1"/>
    <col min="7" max="7" width="12.00" customWidth="1"/>
  </cols>
  <sheetData>
    <row r="1">
      <c r="A1" s="1" t="inlineStr">
        <is>
          <t>SUMMARY OF QUANTITIES — 9-STOREY OFFICE BUILDING</t>
        </is>
      </c>
      <c r="G1" s="106" t="inlineStr">
        <is>
          <t>← Index</t>
        </is>
      </c>
    </row>
    <row r="3">
      <c r="A3" s="3" t="inlineStr">
        <is>
          <t>No.</t>
        </is>
      </c>
      <c r="B3" s="3" t="inlineStr">
        <is>
          <t>Package</t>
        </is>
      </c>
      <c r="C3" s="3" t="inlineStr">
        <is>
          <t>Work item</t>
        </is>
      </c>
      <c r="D3" s="3" t="inlineStr">
        <is>
          <t>Unit</t>
        </is>
      </c>
      <c r="E3" s="3" t="inlineStr">
        <is>
          <t>Quantity</t>
        </is>
      </c>
    </row>
    <row r="4">
      <c r="A4" s="6">
        <v>1</v>
      </c>
      <c r="B4" s="4" t="inlineStr">
        <is>
          <t>Foundation</t>
        </is>
      </c>
      <c r="C4" s="4" t="inlineStr">
        <is>
          <t>Foundation excavation</t>
        </is>
      </c>
      <c r="D4" s="6" t="inlineStr">
        <is>
          <t>m³</t>
        </is>
      </c>
      <c r="E4" s="32">
        <v>412.6</v>
      </c>
    </row>
    <row r="5">
      <c r="A5" s="6">
        <v>2</v>
      </c>
      <c r="B5" s="4" t="inlineStr">
        <is>
          <t>Foundation</t>
        </is>
      </c>
      <c r="C5" s="4" t="inlineStr">
        <is>
          <t>Blinding concrete M100</t>
        </is>
      </c>
      <c r="D5" s="6" t="inlineStr">
        <is>
          <t>m³</t>
        </is>
      </c>
      <c r="E5" s="32">
        <v>18.4</v>
      </c>
    </row>
    <row r="6">
      <c r="A6" s="6">
        <v>3</v>
      </c>
      <c r="B6" s="4" t="inlineStr">
        <is>
          <t>Foundation</t>
        </is>
      </c>
      <c r="C6" s="4" t="inlineStr">
        <is>
          <t>Footing concrete B25</t>
        </is>
      </c>
      <c r="D6" s="6" t="inlineStr">
        <is>
          <t>m³</t>
        </is>
      </c>
      <c r="E6" s="32">
        <v>126.3</v>
      </c>
    </row>
    <row r="7">
      <c r="A7" s="6">
        <v>4</v>
      </c>
      <c r="B7" s="4" t="inlineStr">
        <is>
          <t>Foundation</t>
        </is>
      </c>
      <c r="C7" s="4" t="inlineStr">
        <is>
          <t>Footing rebar CB400-V</t>
        </is>
      </c>
      <c r="D7" s="6" t="inlineStr">
        <is>
          <t>t</t>
        </is>
      </c>
      <c r="E7" s="11">
        <v>9.85</v>
      </c>
    </row>
    <row r="8">
      <c r="A8" s="6">
        <v>5</v>
      </c>
      <c r="B8" s="4" t="inlineStr">
        <is>
          <t>Superstructure</t>
        </is>
      </c>
      <c r="C8" s="4" t="inlineStr">
        <is>
          <t>Column concrete B30</t>
        </is>
      </c>
      <c r="D8" s="6" t="inlineStr">
        <is>
          <t>m³</t>
        </is>
      </c>
      <c r="E8" s="32">
        <v>38.7</v>
      </c>
    </row>
    <row r="9">
      <c r="A9" s="6">
        <v>6</v>
      </c>
      <c r="B9" s="4" t="inlineStr">
        <is>
          <t>Superstructure</t>
        </is>
      </c>
      <c r="C9" s="4" t="inlineStr">
        <is>
          <t>Beam &amp; slab concrete B30</t>
        </is>
      </c>
      <c r="D9" s="6" t="inlineStr">
        <is>
          <t>m³</t>
        </is>
      </c>
      <c r="E9" s="32">
        <v>164.2</v>
      </c>
    </row>
    <row r="10">
      <c r="A10" s="6">
        <v>7</v>
      </c>
      <c r="B10" s="4" t="inlineStr">
        <is>
          <t>Superstructure</t>
        </is>
      </c>
      <c r="C10" s="4" t="inlineStr">
        <is>
          <t>Beam &amp; slab rebar CB400-V</t>
        </is>
      </c>
      <c r="D10" s="6" t="inlineStr">
        <is>
          <t>t</t>
        </is>
      </c>
      <c r="E10" s="32">
        <v>21.6</v>
      </c>
    </row>
    <row r="11">
      <c r="A11" s="6">
        <v>8</v>
      </c>
      <c r="B11" s="4" t="inlineStr">
        <is>
          <t>Superstructure</t>
        </is>
      </c>
      <c r="C11" s="4" t="inlineStr">
        <is>
          <t>Beam &amp; slab formwork</t>
        </is>
      </c>
      <c r="D11" s="6" t="inlineStr">
        <is>
          <t>m²</t>
        </is>
      </c>
      <c r="E11" s="32">
        <v>1142.5</v>
      </c>
    </row>
    <row r="12">
      <c r="A12" s="6">
        <v>9</v>
      </c>
      <c r="B12" s="4" t="inlineStr">
        <is>
          <t>Finishes</t>
        </is>
      </c>
      <c r="C12" s="4" t="inlineStr">
        <is>
          <t>220 hollow-brick wall</t>
        </is>
      </c>
      <c r="D12" s="6" t="inlineStr">
        <is>
          <t>m³</t>
        </is>
      </c>
      <c r="E12" s="32">
        <v>96.8</v>
      </c>
    </row>
    <row r="13">
      <c r="A13" s="6">
        <v>10</v>
      </c>
      <c r="B13" s="4" t="inlineStr">
        <is>
          <t>Finishes</t>
        </is>
      </c>
      <c r="C13" s="4" t="inlineStr">
        <is>
          <t>Internal plaster, mortar M75</t>
        </is>
      </c>
      <c r="D13" s="6" t="inlineStr">
        <is>
          <t>m²</t>
        </is>
      </c>
      <c r="E13" s="32">
        <v>2316</v>
      </c>
    </row>
    <row r="14">
      <c r="A14" s="6">
        <v>11</v>
      </c>
      <c r="B14" s="4" t="inlineStr">
        <is>
          <t>Finishes</t>
        </is>
      </c>
      <c r="C14" s="4" t="inlineStr">
        <is>
          <t>Granite floor tiles 600x600</t>
        </is>
      </c>
      <c r="D14" s="6" t="inlineStr">
        <is>
          <t>m²</t>
        </is>
      </c>
      <c r="E14" s="32">
        <v>845</v>
      </c>
    </row>
    <row r="15">
      <c r="A15" s="6">
        <v>12</v>
      </c>
      <c r="B15" s="4" t="inlineStr">
        <is>
          <t>Finishes</t>
        </is>
      </c>
      <c r="C15" s="4" t="inlineStr">
        <is>
          <t>Interior wall painting</t>
        </is>
      </c>
      <c r="D15" s="6" t="inlineStr">
        <is>
          <t>m²</t>
        </is>
      </c>
      <c r="E15" s="32">
        <v>2316</v>
      </c>
    </row>
  </sheetData>
  <hyperlinks>
    <hyperlink ref="G1" location="'Index'!A169" display="← Index"/>
  </hyperlinks>
  <pageMargins left="0.7" right="0.7" top="0.75" bottom="0.75" header="0.3" footer="0.3"/>
</worksheet>
</file>

<file path=xl/worksheets/sheet144.xml><?xml version="1.0" encoding="utf-8"?>
<worksheet xmlns="http://schemas.openxmlformats.org/spreadsheetml/2006/main" xmlns:r="http://schemas.openxmlformats.org/officeDocument/2006/relationships">
  <dimension ref="A1:F12"/>
  <sheetViews>
    <sheetView workbookViewId="0">
      <selection activeCell="A1" sqref="A1"/>
    </sheetView>
  </sheetViews>
  <sheetFormatPr defaultRowHeight="15"/>
  <cols>
    <col min="1" max="1" width="15.00" customWidth="1"/>
    <col min="2" max="2" width="33.00" customWidth="1"/>
    <col min="3" max="3" width="23.00" customWidth="1"/>
    <col min="4" max="4" width="37.00" customWidth="1"/>
    <col min="6" max="6" width="12.00" customWidth="1"/>
  </cols>
  <sheetData>
    <row r="1">
      <c r="A1" s="1" t="inlineStr">
        <is>
          <t>Sheet comparison</t>
        </is>
      </c>
      <c r="B1" s="1" t="inlineStr">
        <is>
          <t>Estimate_Issued.xlsx / Estimate</t>
        </is>
      </c>
      <c r="C1" s="1" t="inlineStr">
        <is>
          <t>↔</t>
        </is>
      </c>
      <c r="D1" s="1" t="inlineStr">
        <is>
          <t>Estimate_Returned.xlsx / Estimate</t>
        </is>
      </c>
      <c r="F1" s="106" t="inlineStr">
        <is>
          <t>← Index</t>
        </is>
      </c>
    </row>
    <row r="2">
      <c r="A2" s="18" t="inlineStr">
        <is>
          <t>Cells compared</t>
        </is>
      </c>
      <c r="B2" s="18">
        <v>65</v>
      </c>
      <c r="C2" s="18" t="inlineStr">
        <is>
          <t>Different</t>
        </is>
      </c>
      <c r="D2" s="18">
        <v>8</v>
      </c>
    </row>
    <row r="4">
      <c r="A4" s="1" t="inlineStr">
        <is>
          <t>Cell</t>
        </is>
      </c>
      <c r="B4" s="1" t="inlineStr">
        <is>
          <t>In A</t>
        </is>
      </c>
      <c r="C4" s="1" t="inlineStr">
        <is>
          <t>In B</t>
        </is>
      </c>
      <c r="D4" s="1" t="inlineStr">
        <is>
          <t>Kind</t>
        </is>
      </c>
    </row>
    <row r="5">
      <c r="A5" s="18" t="inlineStr">
        <is>
          <t>E6</t>
        </is>
      </c>
      <c r="B5" s="18">
        <v>125000</v>
      </c>
      <c r="C5" s="18">
        <v>128500</v>
      </c>
      <c r="D5" s="18" t="inlineStr">
        <is>
          <t>different</t>
        </is>
      </c>
    </row>
    <row r="6">
      <c r="A6" s="18" t="inlineStr">
        <is>
          <t>E9</t>
        </is>
      </c>
      <c r="B6" s="18">
        <v>365000</v>
      </c>
      <c r="C6" s="18">
        <v>392000</v>
      </c>
      <c r="D6" s="18" t="inlineStr">
        <is>
          <t>different</t>
        </is>
      </c>
    </row>
    <row r="7">
      <c r="A7" s="18" t="inlineStr">
        <is>
          <t>D11</t>
        </is>
      </c>
      <c r="B7" s="18">
        <v>145</v>
      </c>
      <c r="C7" s="18">
        <v>152</v>
      </c>
      <c r="D7" s="18" t="inlineStr">
        <is>
          <t>different</t>
        </is>
      </c>
    </row>
    <row r="8">
      <c r="A8" s="18" t="inlineStr">
        <is>
          <t>A13</t>
        </is>
      </c>
      <c r="C8" s="18">
        <v>10</v>
      </c>
      <c r="D8" s="18" t="inlineStr">
        <is>
          <t>only in B</t>
        </is>
      </c>
    </row>
    <row r="9">
      <c r="A9" s="18" t="inlineStr">
        <is>
          <t>B13</t>
        </is>
      </c>
      <c r="C9" s="18" t="inlineStr">
        <is>
          <t>Toilet floor waterproofing</t>
        </is>
      </c>
      <c r="D9" s="18" t="inlineStr">
        <is>
          <t>only in B</t>
        </is>
      </c>
    </row>
    <row r="10">
      <c r="A10" s="18" t="inlineStr">
        <is>
          <t>C13</t>
        </is>
      </c>
      <c r="C10" s="18" t="inlineStr">
        <is>
          <t>m²</t>
        </is>
      </c>
      <c r="D10" s="18" t="inlineStr">
        <is>
          <t>only in B</t>
        </is>
      </c>
    </row>
    <row r="11">
      <c r="A11" s="18" t="inlineStr">
        <is>
          <t>D13</t>
        </is>
      </c>
      <c r="C11" s="18">
        <v>86</v>
      </c>
      <c r="D11" s="18" t="inlineStr">
        <is>
          <t>only in B</t>
        </is>
      </c>
    </row>
    <row r="12">
      <c r="A12" s="18" t="inlineStr">
        <is>
          <t>E13</t>
        </is>
      </c>
      <c r="C12" s="18">
        <v>245000</v>
      </c>
      <c r="D12" s="18" t="inlineStr">
        <is>
          <t>only in B</t>
        </is>
      </c>
    </row>
  </sheetData>
  <hyperlinks>
    <hyperlink ref="F1" location="'Index'!A170" display="← Index"/>
  </hyperlinks>
  <pageMargins left="0.7" right="0.7" top="0.75" bottom="0.75" header="0.3" footer="0.3"/>
</worksheet>
</file>

<file path=xl/worksheets/sheet145.xml><?xml version="1.0" encoding="utf-8"?>
<worksheet xmlns="http://schemas.openxmlformats.org/spreadsheetml/2006/main" xmlns:r="http://schemas.openxmlformats.org/officeDocument/2006/relationships">
  <dimension ref="A1:G11"/>
  <sheetViews>
    <sheetView workbookViewId="0">
      <selection activeCell="A3" sqref="A3:E11"/>
    </sheetView>
  </sheetViews>
  <sheetFormatPr defaultRowHeight="15"/>
  <cols>
    <col min="1" max="1" width="5.00" customWidth="1"/>
    <col min="2" max="2" width="11.00" customWidth="1"/>
    <col min="3" max="3" width="32.00" customWidth="1"/>
    <col min="4" max="4" width="8.00" customWidth="1"/>
    <col min="5" max="5" width="11.00" customWidth="1"/>
    <col min="7" max="7" width="12.00" customWidth="1"/>
  </cols>
  <sheetData>
    <row r="1">
      <c r="A1" s="1" t="inlineStr">
        <is>
          <t>BILL OF QUANTITIES — 9-STOREY OFFICE BUILDING</t>
        </is>
      </c>
      <c r="G1" s="106" t="inlineStr">
        <is>
          <t>← Index</t>
        </is>
      </c>
    </row>
    <row r="3">
      <c r="A3" s="3" t="inlineStr">
        <is>
          <t>No.</t>
        </is>
      </c>
      <c r="B3" s="3" t="inlineStr">
        <is>
          <t>Code</t>
        </is>
      </c>
      <c r="C3" s="3" t="inlineStr">
        <is>
          <t>Work item</t>
        </is>
      </c>
      <c r="D3" s="3" t="inlineStr">
        <is>
          <t>Unit</t>
        </is>
      </c>
      <c r="E3" s="3" t="inlineStr">
        <is>
          <t>Quantity</t>
        </is>
      </c>
    </row>
    <row r="4">
      <c r="A4" s="6">
        <v>1</v>
      </c>
      <c r="B4" s="4" t="inlineStr">
        <is>
          <t>AB.25112</t>
        </is>
      </c>
      <c r="C4" s="4" t="inlineStr">
        <is>
          <t>Machine excavation of footings</t>
        </is>
      </c>
      <c r="D4" s="4"/>
      <c r="E4" s="32">
        <v>412.6</v>
      </c>
    </row>
    <row r="5">
      <c r="A5" s="6">
        <v>2</v>
      </c>
      <c r="B5" s="4" t="inlineStr">
        <is>
          <t>AF.11113</t>
        </is>
      </c>
      <c r="C5" s="4" t="inlineStr">
        <is>
          <t>Blinding concrete M100</t>
        </is>
      </c>
      <c r="D5" s="4"/>
      <c r="E5" s="32">
        <v>18.4</v>
      </c>
    </row>
    <row r="6">
      <c r="A6" s="6">
        <v>3</v>
      </c>
      <c r="B6" s="4" t="inlineStr">
        <is>
          <t>AF.61120</t>
        </is>
      </c>
      <c r="C6" s="4" t="inlineStr">
        <is>
          <t>Footing rebar d ≤ 18</t>
        </is>
      </c>
      <c r="D6" s="4"/>
      <c r="E6" s="11">
        <v>9.85</v>
      </c>
    </row>
    <row r="7">
      <c r="A7" s="6">
        <v>4</v>
      </c>
      <c r="B7" s="4" t="inlineStr">
        <is>
          <t>AF.11213</t>
        </is>
      </c>
      <c r="C7" s="4" t="inlineStr">
        <is>
          <t>Footing concrete B25</t>
        </is>
      </c>
      <c r="D7" s="4"/>
      <c r="E7" s="32">
        <v>126.3</v>
      </c>
    </row>
    <row r="8">
      <c r="A8" s="6">
        <v>5</v>
      </c>
      <c r="B8" s="4" t="inlineStr">
        <is>
          <t>AF.81122</t>
        </is>
      </c>
      <c r="C8" s="4" t="inlineStr">
        <is>
          <t>Footing formwork</t>
        </is>
      </c>
      <c r="D8" s="4"/>
      <c r="E8" s="32">
        <v>236</v>
      </c>
    </row>
    <row r="9">
      <c r="A9" s="6">
        <v>6</v>
      </c>
      <c r="B9" s="4" t="inlineStr">
        <is>
          <t>AE.22223</t>
        </is>
      </c>
      <c r="C9" s="4" t="inlineStr">
        <is>
          <t>220 hollow-brick wall</t>
        </is>
      </c>
      <c r="D9" s="4"/>
      <c r="E9" s="32">
        <v>96.8</v>
      </c>
    </row>
    <row r="10">
      <c r="A10" s="6">
        <v>7</v>
      </c>
      <c r="B10" s="4" t="inlineStr">
        <is>
          <t>AK.21224</t>
        </is>
      </c>
      <c r="C10" s="4" t="inlineStr">
        <is>
          <t>Internal plaster, mortar M75</t>
        </is>
      </c>
      <c r="D10" s="4"/>
      <c r="E10" s="32">
        <v>2316</v>
      </c>
    </row>
    <row r="11">
      <c r="A11" s="6">
        <v>8</v>
      </c>
      <c r="B11" s="4" t="inlineStr">
        <is>
          <t>AK.5122</t>
        </is>
      </c>
      <c r="C11" s="4" t="inlineStr">
        <is>
          <t>Granite floor tiles 600x600</t>
        </is>
      </c>
      <c r="D11" s="4"/>
      <c r="E11" s="32">
        <v>845</v>
      </c>
    </row>
  </sheetData>
  <hyperlinks>
    <hyperlink ref="G1" location="'Index'!A171" display="← Index"/>
  </hyperlinks>
  <pageMargins left="0.7" right="0.7" top="0.75" bottom="0.75" header="0.3" footer="0.3"/>
</worksheet>
</file>

<file path=xl/worksheets/sheet146.xml><?xml version="1.0" encoding="utf-8"?>
<worksheet xmlns="http://schemas.openxmlformats.org/spreadsheetml/2006/main" xmlns:r="http://schemas.openxmlformats.org/officeDocument/2006/relationships">
  <dimension ref="A1:F12"/>
  <sheetViews>
    <sheetView workbookViewId="0"/>
  </sheetViews>
  <sheetFormatPr defaultRowHeight="15"/>
  <cols>
    <col min="1" max="1" width="10.00" customWidth="1"/>
    <col min="2" max="2" width="31.00" customWidth="1"/>
    <col min="3" max="3" width="8.00" customWidth="1"/>
    <col min="4" max="4" width="12.00" customWidth="1"/>
    <col min="6" max="6" width="12.00" customWidth="1"/>
  </cols>
  <sheetData>
    <row r="1">
      <c r="A1" s="1" t="inlineStr">
        <is>
          <t>COMPANY UNIT RATES — Q4/2026</t>
        </is>
      </c>
      <c r="F1" s="106" t="inlineStr">
        <is>
          <t>← Index</t>
        </is>
      </c>
    </row>
    <row r="2">
      <c r="A2" s="81" t="inlineStr">
        <is>
          <t>Code</t>
        </is>
      </c>
      <c r="B2" s="81" t="inlineStr">
        <is>
          <t>Work item</t>
        </is>
      </c>
      <c r="C2" s="81" t="inlineStr">
        <is>
          <t>Unit</t>
        </is>
      </c>
      <c r="D2" s="81" t="inlineStr">
        <is>
          <t>Unit rate</t>
        </is>
      </c>
    </row>
    <row r="3">
      <c r="A3" s="4" t="inlineStr">
        <is>
          <t>AB.11213</t>
        </is>
      </c>
      <c r="B3" s="4" t="inlineStr">
        <is>
          <t>Manual excavation of footings, soil grade III</t>
        </is>
      </c>
      <c r="C3" s="6" t="inlineStr">
        <is>
          <t>m³</t>
        </is>
      </c>
      <c r="D3" s="33">
        <v>285000</v>
      </c>
    </row>
    <row r="4">
      <c r="A4" s="4" t="inlineStr">
        <is>
          <t>AB.25112</t>
        </is>
      </c>
      <c r="B4" s="4" t="inlineStr">
        <is>
          <t>Machine excavation of footings</t>
        </is>
      </c>
      <c r="C4" s="6" t="inlineStr">
        <is>
          <t>m³</t>
        </is>
      </c>
      <c r="D4" s="33">
        <v>86500</v>
      </c>
    </row>
    <row r="5">
      <c r="A5" s="4" t="inlineStr">
        <is>
          <t>AE.22223</t>
        </is>
      </c>
      <c r="B5" s="4" t="inlineStr">
        <is>
          <t>Hollow brick wall 220</t>
        </is>
      </c>
      <c r="C5" s="6" t="inlineStr">
        <is>
          <t>m³</t>
        </is>
      </c>
      <c r="D5" s="33">
        <v>1580000</v>
      </c>
    </row>
    <row r="6">
      <c r="A6" s="4" t="inlineStr">
        <is>
          <t>AF.11113</t>
        </is>
      </c>
      <c r="B6" s="4" t="inlineStr">
        <is>
          <t>Blinding concrete M100</t>
        </is>
      </c>
      <c r="C6" s="6" t="inlineStr">
        <is>
          <t>m³</t>
        </is>
      </c>
      <c r="D6" s="33">
        <v>1150000</v>
      </c>
    </row>
    <row r="7">
      <c r="A7" s="4" t="inlineStr">
        <is>
          <t>AF.11213</t>
        </is>
      </c>
      <c r="B7" s="4" t="inlineStr">
        <is>
          <t>Footing concrete B25</t>
        </is>
      </c>
      <c r="C7" s="6" t="inlineStr">
        <is>
          <t>m³</t>
        </is>
      </c>
      <c r="D7" s="33">
        <v>1680000</v>
      </c>
    </row>
    <row r="8">
      <c r="A8" s="4" t="inlineStr">
        <is>
          <t>AF.61120</t>
        </is>
      </c>
      <c r="B8" s="4" t="inlineStr">
        <is>
          <t>Footing rebar d ≤ 18</t>
        </is>
      </c>
      <c r="C8" s="6" t="inlineStr">
        <is>
          <t>t</t>
        </is>
      </c>
      <c r="D8" s="33">
        <v>23400000</v>
      </c>
    </row>
    <row r="9">
      <c r="A9" s="4" t="inlineStr">
        <is>
          <t>AF.81122</t>
        </is>
      </c>
      <c r="B9" s="4" t="inlineStr">
        <is>
          <t>Footing formwork</t>
        </is>
      </c>
      <c r="C9" s="6" t="inlineStr">
        <is>
          <t>m²</t>
        </is>
      </c>
      <c r="D9" s="33">
        <v>165000</v>
      </c>
    </row>
    <row r="10">
      <c r="A10" s="4" t="inlineStr">
        <is>
          <t>AK.21224</t>
        </is>
      </c>
      <c r="B10" s="4" t="inlineStr">
        <is>
          <t>Interior wall plastering, mortar M75</t>
        </is>
      </c>
      <c r="C10" s="6" t="inlineStr">
        <is>
          <t>m²</t>
        </is>
      </c>
      <c r="D10" s="33">
        <v>98000</v>
      </c>
    </row>
    <row r="11">
      <c r="A11" s="4" t="inlineStr">
        <is>
          <t>AK.51223</t>
        </is>
      </c>
      <c r="B11" s="4" t="inlineStr">
        <is>
          <t>Granite floor tiles 600x600</t>
        </is>
      </c>
      <c r="C11" s="6" t="inlineStr">
        <is>
          <t>m²</t>
        </is>
      </c>
      <c r="D11" s="33">
        <v>312000</v>
      </c>
    </row>
    <row r="12">
      <c r="A12" s="4" t="inlineStr">
        <is>
          <t>AK.84112</t>
        </is>
      </c>
      <c r="B12" s="4" t="inlineStr">
        <is>
          <t>Interior wall painting</t>
        </is>
      </c>
      <c r="C12" s="6" t="inlineStr">
        <is>
          <t>m²</t>
        </is>
      </c>
      <c r="D12" s="4"/>
    </row>
  </sheetData>
  <hyperlinks>
    <hyperlink ref="F1" location="'Index'!A171" display="← Index"/>
  </hyperlinks>
  <pageMargins left="0.7" right="0.7" top="0.75" bottom="0.75" header="0.3" footer="0.3"/>
</worksheet>
</file>

<file path=xl/worksheets/sheet147.xml><?xml version="1.0" encoding="utf-8"?>
<worksheet xmlns="http://schemas.openxmlformats.org/spreadsheetml/2006/main" xmlns:r="http://schemas.openxmlformats.org/officeDocument/2006/relationships">
  <dimension ref="A1:F7"/>
  <sheetViews>
    <sheetView workbookViewId="0">
      <selection activeCell="B3" sqref="B3:C7"/>
    </sheetView>
  </sheetViews>
  <sheetFormatPr defaultRowHeight="15"/>
  <cols>
    <col min="1" max="1" width="3.00" customWidth="1"/>
    <col min="2" max="2" width="18.00" customWidth="1"/>
    <col min="3" max="3" width="28.00" customWidth="1"/>
    <col min="4" max="4" width="18.00" customWidth="1"/>
    <col min="6" max="6" width="12.00" customWidth="1"/>
  </cols>
  <sheetData>
    <row r="1">
      <c r="F1" s="106" t="inlineStr">
        <is>
          <t>← Index</t>
        </is>
      </c>
    </row>
    <row r="2">
      <c r="B2" s="3" t="inlineStr">
        <is>
          <t>Old name</t>
        </is>
      </c>
      <c r="C2" s="3" t="inlineStr">
        <is>
          <t>New name</t>
        </is>
      </c>
    </row>
    <row r="3">
      <c r="B3" s="4" t="inlineStr">
        <is>
          <t>IMG_2841.JPG</t>
        </is>
      </c>
      <c r="C3" s="4" t="inlineStr">
        <is>
          <t>NT-501_dam_truc-A.jpg</t>
        </is>
      </c>
    </row>
    <row r="4">
      <c r="B4" s="4" t="inlineStr">
        <is>
          <t>IMG_2842.JPG</t>
        </is>
      </c>
      <c r="C4" s="4" t="inlineStr">
        <is>
          <t>NT-501_dam_truc-B.jpg</t>
        </is>
      </c>
    </row>
    <row r="5">
      <c r="B5" s="4" t="inlineStr">
        <is>
          <t>IMG_2843.JPG</t>
        </is>
      </c>
      <c r="C5" s="4" t="inlineStr">
        <is>
          <t>NT-502_san_S1.jpg</t>
        </is>
      </c>
    </row>
    <row r="6">
      <c r="B6" s="4" t="inlineStr">
        <is>
          <t>IMG_2844.JPG</t>
        </is>
      </c>
      <c r="C6" s="4" t="inlineStr">
        <is>
          <t>NT-502_san_S2.jpg</t>
        </is>
      </c>
    </row>
    <row r="7">
      <c r="B7" s="4" t="inlineStr">
        <is>
          <t>IMG_2845.JPG</t>
        </is>
      </c>
      <c r="C7" s="4" t="inlineStr">
        <is>
          <t>NT-503_cot_C3.jpg</t>
        </is>
      </c>
    </row>
  </sheetData>
  <hyperlinks>
    <hyperlink ref="F1" location="'Index'!A172" display="← Index"/>
  </hyperlinks>
  <pageMargins left="0.7" right="0.7" top="0.75" bottom="0.75" header="0.3" footer="0.3"/>
</worksheet>
</file>

<file path=xl/worksheets/sheet148.xml><?xml version="1.0" encoding="utf-8"?>
<worksheet xmlns="http://schemas.openxmlformats.org/spreadsheetml/2006/main" xmlns:r="http://schemas.openxmlformats.org/officeDocument/2006/relationships">
  <dimension ref="A1:F7"/>
  <sheetViews>
    <sheetView workbookViewId="0">
      <selection activeCell="D3" sqref="D3:D7"/>
    </sheetView>
  </sheetViews>
  <sheetFormatPr defaultRowHeight="15"/>
  <cols>
    <col min="1" max="1" width="5.00" customWidth="1"/>
    <col min="2" max="2" width="9.00" customWidth="1"/>
    <col min="3" max="3" width="26.00" customWidth="1"/>
    <col min="4" max="4" width="44.00" customWidth="1"/>
    <col min="6" max="6" width="12.00" customWidth="1"/>
  </cols>
  <sheetData>
    <row r="1">
      <c r="A1" s="1" t="inlineStr">
        <is>
          <t>CONSTRUCTION DRAWING LIST — ARCHITECTURE</t>
        </is>
      </c>
      <c r="F1" s="106" t="inlineStr">
        <is>
          <t>← Index</t>
        </is>
      </c>
    </row>
    <row r="2">
      <c r="A2" s="3" t="inlineStr">
        <is>
          <t>No.</t>
        </is>
      </c>
      <c r="B2" s="3" t="inlineStr">
        <is>
          <t>Ref.</t>
        </is>
      </c>
      <c r="C2" s="3" t="inlineStr">
        <is>
          <t>Drawing title</t>
        </is>
      </c>
      <c r="D2" s="3" t="inlineStr">
        <is>
          <t>File path</t>
        </is>
      </c>
    </row>
    <row r="3">
      <c r="A3" s="6">
        <v>1</v>
      </c>
      <c r="B3" s="4" t="inlineStr">
        <is>
          <t>KT-01</t>
        </is>
      </c>
      <c r="C3" s="4" t="inlineStr">
        <is>
          <t>Level 1 plan</t>
        </is>
      </c>
      <c r="D3" s="4" t="inlineStr">
        <is>
          <t>D:\DuAn\NhaVanPhong\TKBVTC\KT-01.pdf</t>
        </is>
      </c>
    </row>
    <row r="4">
      <c r="A4" s="6">
        <v>2</v>
      </c>
      <c r="B4" s="4" t="inlineStr">
        <is>
          <t>KT-02</t>
        </is>
      </c>
      <c r="C4" s="4" t="inlineStr">
        <is>
          <t>Levels 2–8 plan</t>
        </is>
      </c>
      <c r="D4" s="4" t="inlineStr">
        <is>
          <t>D:\DuAn\NhaVanPhong\TKBVTC\KT-02.pdf</t>
        </is>
      </c>
    </row>
    <row r="5">
      <c r="A5" s="6">
        <v>3</v>
      </c>
      <c r="B5" s="4" t="inlineStr">
        <is>
          <t>KT-03</t>
        </is>
      </c>
      <c r="C5" s="4" t="inlineStr">
        <is>
          <t>Elevation, grid 1–8</t>
        </is>
      </c>
      <c r="D5" s="4" t="inlineStr">
        <is>
          <t>D:\DuAn\NhaVanPhong\TKBVTC\KT-03.pdf</t>
        </is>
      </c>
    </row>
    <row r="6">
      <c r="A6" s="6">
        <v>4</v>
      </c>
      <c r="B6" s="4" t="inlineStr">
        <is>
          <t>KT-04</t>
        </is>
      </c>
      <c r="C6" s="4" t="inlineStr">
        <is>
          <t>Section A-A</t>
        </is>
      </c>
      <c r="D6" s="4" t="inlineStr">
        <is>
          <t>D:\DuAn\NhaVanPhong\TKBVTC\KT-04.pdf</t>
        </is>
      </c>
    </row>
    <row r="7">
      <c r="A7" s="6">
        <v>5</v>
      </c>
      <c r="B7" s="4" t="inlineStr">
        <is>
          <t>KT-05</t>
        </is>
      </c>
      <c r="C7" s="4" t="inlineStr">
        <is>
          <t>Staircase details</t>
        </is>
      </c>
      <c r="D7" s="4" t="inlineStr">
        <is>
          <t>D:\DuAn\NhaVanPhong\TKBVTC\KT-05.pdf</t>
        </is>
      </c>
    </row>
  </sheetData>
  <hyperlinks>
    <hyperlink ref="F1" location="'Index'!A174" display="← Index"/>
  </hyperlinks>
  <pageMargins left="0.7" right="0.7" top="0.75" bottom="0.75" header="0.3" footer="0.3"/>
</worksheet>
</file>

<file path=xl/worksheets/sheet149.xml><?xml version="1.0" encoding="utf-8"?>
<worksheet xmlns="http://schemas.openxmlformats.org/spreadsheetml/2006/main" xmlns:r="http://schemas.openxmlformats.org/officeDocument/2006/relationships">
  <dimension ref="A1:F9"/>
  <sheetViews>
    <sheetView workbookViewId="0">
      <selection activeCell="A2" sqref="A2:C9"/>
    </sheetView>
  </sheetViews>
  <sheetFormatPr defaultRowHeight="15"/>
  <cols>
    <col min="1" max="1" width="16.00" customWidth="1"/>
    <col min="2" max="2" width="16.00" customWidth="1"/>
    <col min="3" max="3" width="14.00" customWidth="1"/>
    <col min="4" max="4" width="8.40" customWidth="1"/>
    <col min="6" max="6" width="12.00" customWidth="1"/>
  </cols>
  <sheetData>
    <row r="1">
      <c r="F1" s="106" t="inlineStr">
        <is>
          <t>← Index</t>
        </is>
      </c>
    </row>
    <row r="2">
      <c r="A2" s="18" t="inlineStr">
        <is>
          <t>NhaVanPhong9T</t>
        </is>
      </c>
      <c r="B2" s="18" t="inlineStr">
        <is>
          <t>01_HoSoPhapLy</t>
        </is>
      </c>
      <c r="C2" s="18" t="inlineStr">
        <is>
          <t>HopDong</t>
        </is>
      </c>
    </row>
    <row r="3">
      <c r="C3" s="18" t="inlineStr">
        <is>
          <t>GiayPhepXD</t>
        </is>
      </c>
    </row>
    <row r="4">
      <c r="B4" s="18" t="inlineStr">
        <is>
          <t>02_TKBVTC</t>
        </is>
      </c>
      <c r="C4" s="18" t="inlineStr">
        <is>
          <t>KienTruc</t>
        </is>
      </c>
    </row>
    <row r="5">
      <c r="C5" s="18" t="inlineStr">
        <is>
          <t>KetCau</t>
        </is>
      </c>
    </row>
    <row r="6">
      <c r="C6" s="18" t="inlineStr">
        <is>
          <t>MEP</t>
        </is>
      </c>
    </row>
    <row r="7">
      <c r="B7" s="18" t="inlineStr">
        <is>
          <t>03_NghiemThu</t>
        </is>
      </c>
      <c r="C7" s="18" t="inlineStr">
        <is>
          <t>Thang_09</t>
        </is>
      </c>
    </row>
    <row r="8">
      <c r="C8" s="18" t="inlineStr">
        <is>
          <t>Thang_10</t>
        </is>
      </c>
    </row>
    <row r="9">
      <c r="B9" s="18" t="inlineStr">
        <is>
          <t>04_NhatKy</t>
        </is>
      </c>
    </row>
  </sheetData>
  <hyperlinks>
    <hyperlink ref="F1" location="'Index'!A176" display="← Index"/>
  </hyperlinks>
  <pageMargins left="0.7" right="0.7" top="0.75" bottom="0.75" header="0.3" footer="0.3"/>
</worksheet>
</file>

<file path=xl/worksheets/sheet150.xml><?xml version="1.0" encoding="utf-8"?>
<worksheet xmlns="http://schemas.openxmlformats.org/spreadsheetml/2006/main" xmlns:r="http://schemas.openxmlformats.org/officeDocument/2006/relationships">
  <dimension ref="A1:D3"/>
  <sheetViews>
    <sheetView workbookViewId="0">
      <selection activeCell="B4" sqref="B4"/>
    </sheetView>
  </sheetViews>
  <sheetFormatPr defaultRowHeight="15"/>
  <cols>
    <col min="1" max="1" width="3.00" customWidth="1"/>
    <col min="2" max="2" width="86.00" customWidth="1"/>
    <col min="4" max="4" width="12.00" customWidth="1"/>
  </cols>
  <sheetData>
    <row r="1">
      <c r="B1" s="1" t="inlineStr">
        <is>
          <t>SITE COORDINATION MEETING MINUTES</t>
        </is>
      </c>
      <c r="D1" s="106" t="inlineStr">
        <is>
          <t>← Index</t>
        </is>
      </c>
    </row>
    <row r="2">
      <c r="B2" s="48" t="inlineStr">
        <is>
          <t>5 Oct 2026 — 9-storey office building</t>
        </is>
      </c>
    </row>
    <row r="3">
      <c r="B3" s="82" t="inlineStr">
        <is>
          <t>Content (from the recording)</t>
        </is>
      </c>
    </row>
  </sheetData>
  <hyperlinks>
    <hyperlink ref="D1" location="'Index'!A180" display="← Index"/>
  </hyperlinks>
  <pageMargins left="0.7" right="0.7" top="0.75" bottom="0.75" header="0.3" footer="0.3"/>
</worksheet>
</file>

<file path=xl/worksheets/sheet151.xml><?xml version="1.0" encoding="utf-8"?>
<worksheet xmlns="http://schemas.openxmlformats.org/spreadsheetml/2006/main" xmlns:r="http://schemas.openxmlformats.org/officeDocument/2006/relationships">
  <dimension ref="A1:D2"/>
  <sheetViews>
    <sheetView workbookViewId="0">
      <selection activeCell="A3" sqref="A3"/>
    </sheetView>
  </sheetViews>
  <sheetFormatPr defaultRowHeight="15"/>
  <cols>
    <col min="1" max="1" width="62.00" customWidth="1"/>
    <col min="2" max="2" width="12.00" customWidth="1"/>
    <col min="4" max="4" width="12.00" customWidth="1"/>
  </cols>
  <sheetData>
    <row r="1">
      <c r="A1" s="1" t="inlineStr">
        <is>
          <t>REBAR D16 MILL CERTIFICATE — LOT A245</t>
        </is>
      </c>
      <c r="D1" s="106" t="inlineStr">
        <is>
          <t>← Index</t>
        </is>
      </c>
    </row>
    <row r="2">
      <c r="A2" s="83" t="inlineStr">
        <is>
          <t>Certificate text (OCR):</t>
        </is>
      </c>
    </row>
  </sheetData>
  <hyperlinks>
    <hyperlink ref="D1" location="'Index'!A187" display="← Index"/>
  </hyperlinks>
  <pageMargins left="0.7" right="0.7" top="0.75" bottom="0.75" header="0.3" footer="0.3"/>
</worksheet>
</file>

<file path=xl/worksheets/sheet152.xml><?xml version="1.0" encoding="utf-8"?>
<worksheet xmlns="http://schemas.openxmlformats.org/spreadsheetml/2006/main" xmlns:r="http://schemas.openxmlformats.org/officeDocument/2006/relationships">
  <dimension ref="A1:I4"/>
  <sheetViews>
    <sheetView workbookViewId="0">
      <selection activeCell="A4" sqref="A4"/>
    </sheetView>
  </sheetViews>
  <sheetFormatPr defaultRowHeight="15"/>
  <cols>
    <col min="1" max="1" width="5.00" customWidth="1"/>
    <col min="2" max="2" width="13.00" customWidth="1"/>
    <col min="3" max="3" width="11.00" customWidth="1"/>
    <col min="4" max="4" width="13.00" customWidth="1"/>
    <col min="5" max="5" width="15.00" customWidth="1"/>
    <col min="6" max="6" width="15.00" customWidth="1"/>
    <col min="7" max="7" width="14.00" customWidth="1"/>
    <col min="9" max="9" width="12.00" customWidth="1"/>
  </cols>
  <sheetData>
    <row r="1">
      <c r="A1" s="1" t="inlineStr">
        <is>
          <t>REBAR TENSILE TEST RESULTS — 9-STOREY OFFICE BUILDING</t>
        </is>
      </c>
      <c r="I1" s="106" t="inlineStr">
        <is>
          <t>← Index</t>
        </is>
      </c>
    </row>
    <row r="2">
      <c r="A2" s="83" t="inlineStr">
        <is>
          <t>Test report No. TN-245/2026 (extracted from the laboratory PDF)</t>
        </is>
      </c>
    </row>
    <row r="4" ht="28.50" customHeight="1"/>
  </sheetData>
  <hyperlinks>
    <hyperlink ref="I1" location="'Index'!A188" display="← Index"/>
  </hyperlinks>
  <pageMargins left="0.7" right="0.7" top="0.75" bottom="0.75" header="0.3" footer="0.3"/>
</worksheet>
</file>

<file path=xl/worksheets/sheet153.xml><?xml version="1.0" encoding="utf-8"?>
<worksheet xmlns="http://schemas.openxmlformats.org/spreadsheetml/2006/main" xmlns:r="http://schemas.openxmlformats.org/officeDocument/2006/relationships">
  <dimension ref="A1:F7"/>
  <sheetViews>
    <sheetView workbookViewId="0">
      <selection activeCell="D7" sqref="D7"/>
    </sheetView>
  </sheetViews>
  <sheetFormatPr defaultRowHeight="15"/>
  <cols>
    <col min="1" max="1" width="5.00" customWidth="1"/>
    <col min="2" max="2" width="22.00" customWidth="1"/>
    <col min="3" max="3" width="13.00" customWidth="1"/>
    <col min="4" max="4" width="72.00" customWidth="1"/>
    <col min="6" max="6" width="12.00" customWidth="1"/>
  </cols>
  <sheetData>
    <row r="1">
      <c r="A1" s="1" t="inlineStr">
        <is>
          <t>CONCRETE MIX-DESIGN TRACKER — 9-STOREY OFFICE BUILDING</t>
        </is>
      </c>
      <c r="F1" s="106" t="inlineStr">
        <is>
          <t>← Index</t>
        </is>
      </c>
    </row>
    <row r="3">
      <c r="A3" s="3" t="inlineStr">
        <is>
          <t>No.</t>
        </is>
      </c>
      <c r="B3" s="3" t="inlineStr">
        <is>
          <t>Element</t>
        </is>
      </c>
      <c r="C3" s="3" t="inlineStr">
        <is>
          <t>Grade</t>
        </is>
      </c>
      <c r="D3" s="84" t="inlineStr">
        <is>
          <t>Mix proportions per 1 m³</t>
        </is>
      </c>
    </row>
    <row r="4">
      <c r="A4" s="6">
        <v>1</v>
      </c>
      <c r="B4" s="4" t="inlineStr">
        <is>
          <t>Blinding concrete</t>
        </is>
      </c>
      <c r="C4" s="6" t="inlineStr">
        <is>
          <t>B7,5 (M100)</t>
        </is>
      </c>
      <c r="D4" s="4" t="inlineStr">
        <is>
          <t>Cement PCB40: 230 kg — Sand: 520 kg — Aggregate 4×6: 900 kg — Water: 175 l</t>
        </is>
      </c>
    </row>
    <row r="5">
      <c r="A5" s="6">
        <v>2</v>
      </c>
      <c r="B5" s="4" t="inlineStr">
        <is>
          <t>Footings, ground beams</t>
        </is>
      </c>
      <c r="C5" s="6" t="inlineStr">
        <is>
          <t>B25 (M350)</t>
        </is>
      </c>
      <c r="D5" s="4" t="inlineStr">
        <is>
          <t>Cement PCB40: 390 kg — Sand: 620 kg — Aggregate 1×2: 1170 kg — Water: 190 l</t>
        </is>
      </c>
    </row>
    <row r="6">
      <c r="A6" s="6">
        <v>3</v>
      </c>
      <c r="B6" s="4" t="inlineStr">
        <is>
          <t>Columns, walls L1–L3</t>
        </is>
      </c>
      <c r="C6" s="6" t="inlineStr">
        <is>
          <t>B25 (M350)</t>
        </is>
      </c>
      <c r="D6" s="4" t="inlineStr">
        <is>
          <t>Cement PCB40: 390 kg — Sand: 620 kg — Aggregate 1×2: 1170 kg — Water: 190 l</t>
        </is>
      </c>
    </row>
    <row r="7">
      <c r="A7" s="6">
        <v>4</v>
      </c>
      <c r="B7" s="4" t="inlineStr">
        <is>
          <t>Beams, slab L3</t>
        </is>
      </c>
      <c r="C7" s="6" t="inlineStr">
        <is>
          <t>B22,5 (M300)</t>
        </is>
      </c>
      <c r="D7" s="4"/>
    </row>
  </sheetData>
  <hyperlinks>
    <hyperlink ref="F1" location="'Index'!A189" display="← Index"/>
  </hyperlinks>
  <pageMargins left="0.7" right="0.7" top="0.75" bottom="0.75" header="0.3" footer="0.3"/>
</worksheet>
</file>

<file path=xl/worksheets/sheet154.xml><?xml version="1.0" encoding="utf-8"?>
<worksheet xmlns="http://schemas.openxmlformats.org/spreadsheetml/2006/main" xmlns:r="http://schemas.openxmlformats.org/officeDocument/2006/relationships">
  <dimension ref="A1:G8"/>
  <sheetViews>
    <sheetView workbookViewId="0">
      <selection activeCell="B3" sqref="B3"/>
    </sheetView>
  </sheetViews>
  <sheetFormatPr defaultRowHeight="15"/>
  <cols>
    <col min="1" max="1" width="18.00" customWidth="1"/>
    <col min="2" max="2" width="34.00" customWidth="1"/>
    <col min="3" max="3" width="4.00" customWidth="1"/>
    <col min="4" max="4" width="11.00" customWidth="1"/>
    <col min="5" max="5" width="18.00" customWidth="1"/>
    <col min="7" max="7" width="12.00" customWidth="1"/>
  </cols>
  <sheetData>
    <row r="1">
      <c r="A1" s="29" t="inlineStr">
        <is>
          <t>CONSTRUCTION WORK ACCEPTANCE RECORD</t>
        </is>
      </c>
      <c r="G1" s="106" t="inlineStr">
        <is>
          <t>← Index</t>
        </is>
      </c>
    </row>
    <row r="3">
      <c r="A3" s="48" t="inlineStr">
        <is>
          <t>Element number:</t>
        </is>
      </c>
      <c r="B3" s="85">
        <v>1</v>
      </c>
      <c r="D3" s="48" t="inlineStr">
        <is>
          <t>Sheets:</t>
        </is>
      </c>
      <c r="E3" s="86" t="inlineStr">
        <is>
          <t>BBNT+Appendix</t>
        </is>
      </c>
    </row>
    <row r="5">
      <c r="A5" s="25" t="inlineStr">
        <is>
          <t>Element:</t>
        </is>
      </c>
      <c r="B5" s="4" t="inlineStr">
        <is>
          <t>Column C1 — grid A/1, level 3</t>
        </is>
      </c>
      <c r="D5" s="48" t="inlineStr">
        <is>
          <t>File name:</t>
        </is>
      </c>
      <c r="E5" s="86" t="inlineStr">
        <is>
          <t>BBNT_Cot_1</t>
        </is>
      </c>
    </row>
    <row r="6">
      <c r="A6" s="25" t="inlineStr">
        <is>
          <t>Elevation:</t>
        </is>
      </c>
      <c r="B6" s="4" t="inlineStr">
        <is>
          <t>+7,200 ÷ +10,800</t>
        </is>
      </c>
    </row>
    <row r="7">
      <c r="A7" s="25" t="inlineStr">
        <is>
          <t>Concrete grade:</t>
        </is>
      </c>
      <c r="B7" s="4" t="inlineStr">
        <is>
          <t>B25 (M350)</t>
        </is>
      </c>
    </row>
    <row r="8">
      <c r="A8" s="25" t="inlineStr">
        <is>
          <t>Inspection date:</t>
        </is>
      </c>
      <c r="B8" s="55">
        <v>46307</v>
      </c>
    </row>
  </sheetData>
  <mergeCells count="1">
    <mergeCell ref="A1:E1"/>
  </mergeCells>
  <hyperlinks>
    <hyperlink ref="G1" location="'Index'!A190" display="← Index"/>
  </hyperlinks>
  <pageMargins left="0.7" right="0.7" top="0.75" bottom="0.75" header="0.3" footer="0.3"/>
</worksheet>
</file>

<file path=xl/worksheets/sheet155.xml><?xml version="1.0" encoding="utf-8"?>
<worksheet xmlns="http://schemas.openxmlformats.org/spreadsheetml/2006/main" xmlns:r="http://schemas.openxmlformats.org/officeDocument/2006/relationships">
  <dimension ref="A1:G6"/>
  <sheetViews>
    <sheetView workbookViewId="0">
      <selection activeCell="B5" sqref="B5"/>
    </sheetView>
  </sheetViews>
  <sheetFormatPr defaultRowHeight="15"/>
  <cols>
    <col min="1" max="1" width="5.00" customWidth="1"/>
    <col min="2" max="2" width="34.00" customWidth="1"/>
    <col min="3" max="3" width="9.00" customWidth="1"/>
    <col min="4" max="4" width="12.00" customWidth="1"/>
    <col min="5" max="5" width="14.00" customWidth="1"/>
    <col min="7" max="7" width="12.00" customWidth="1"/>
  </cols>
  <sheetData>
    <row r="1">
      <c r="A1" s="29" t="inlineStr">
        <is>
          <t>CONSTRUCTION WORK ACCEPTANCE RECORD</t>
        </is>
      </c>
      <c r="G1" s="106" t="inlineStr">
        <is>
          <t>← Index</t>
        </is>
      </c>
    </row>
    <row r="2">
      <c r="A2" s="30" t="inlineStr">
        <is>
          <t>No.: BB-01/NT — Project: 9-storey office building</t>
        </is>
      </c>
    </row>
    <row r="4">
      <c r="A4" s="3" t="inlineStr">
        <is>
          <t>No.</t>
        </is>
      </c>
      <c r="B4" s="3" t="inlineStr">
        <is>
          <t>Work inspected</t>
        </is>
      </c>
      <c r="C4" s="3" t="inlineStr">
        <is>
          <t>Unit</t>
        </is>
      </c>
      <c r="D4" s="3" t="inlineStr">
        <is>
          <t>Quantity</t>
        </is>
      </c>
      <c r="E4" s="3" t="inlineStr">
        <is>
          <t>Result</t>
        </is>
      </c>
    </row>
    <row r="5">
      <c r="A5" s="6">
        <v>1</v>
      </c>
      <c r="B5" s="4" t="inlineStr">
        <is>
          <t>Level-3 column rebar (grid 1–5)</t>
        </is>
      </c>
      <c r="C5" s="6" t="inlineStr">
        <is>
          <t>t</t>
        </is>
      </c>
      <c r="D5" s="11">
        <v>4.85</v>
      </c>
      <c r="E5" s="6" t="inlineStr">
        <is>
          <t>Accepted</t>
        </is>
      </c>
    </row>
    <row r="6">
      <c r="A6" s="6">
        <v>2</v>
      </c>
      <c r="B6" s="4" t="inlineStr">
        <is>
          <t>Level-3 column formwork</t>
        </is>
      </c>
      <c r="C6" s="6" t="inlineStr">
        <is>
          <t>m²</t>
        </is>
      </c>
      <c r="D6" s="32">
        <v>126.4</v>
      </c>
      <c r="E6" s="6" t="inlineStr">
        <is>
          <t>Accepted</t>
        </is>
      </c>
    </row>
  </sheetData>
  <mergeCells count="2">
    <mergeCell ref="A1:E1"/>
    <mergeCell ref="A2:E2"/>
  </mergeCells>
  <hyperlinks>
    <hyperlink ref="G1" location="'Index'!A191" display="← Index"/>
  </hyperlinks>
  <pageMargins left="0.7" right="0.7" top="0.75" bottom="0.75" header="0.3" footer="0.3"/>
</worksheet>
</file>

<file path=xl/worksheets/sheet156.xml><?xml version="1.0" encoding="utf-8"?>
<worksheet xmlns="http://schemas.openxmlformats.org/spreadsheetml/2006/main" xmlns:r="http://schemas.openxmlformats.org/officeDocument/2006/relationships">
  <dimension ref="A1:G7"/>
  <sheetViews>
    <sheetView workbookViewId="0">
      <selection activeCell="B5" sqref="B5"/>
    </sheetView>
  </sheetViews>
  <sheetFormatPr defaultRowHeight="15"/>
  <cols>
    <col min="1" max="1" width="5.00" customWidth="1"/>
    <col min="2" max="2" width="36.00" customWidth="1"/>
    <col min="3" max="3" width="7.00" customWidth="1"/>
    <col min="4" max="4" width="12.00" customWidth="1"/>
    <col min="5" max="5" width="14.00" customWidth="1"/>
    <col min="7" max="7" width="12.00" customWidth="1"/>
  </cols>
  <sheetData>
    <row r="1">
      <c r="A1" s="1" t="inlineStr">
        <is>
          <t>COMPLETED QUANTITIES — PAYMENT 3</t>
        </is>
      </c>
      <c r="G1" s="106" t="inlineStr">
        <is>
          <t>← Index</t>
        </is>
      </c>
    </row>
    <row r="2">
      <c r="A2" s="48" t="inlineStr">
        <is>
          <t>Project: 9-storey office building</t>
        </is>
      </c>
    </row>
    <row r="4">
      <c r="A4" s="3" t="inlineStr">
        <is>
          <t>No.</t>
        </is>
      </c>
      <c r="B4" s="3" t="inlineStr">
        <is>
          <t>Work item</t>
        </is>
      </c>
      <c r="C4" s="3" t="inlineStr">
        <is>
          <t>Unit</t>
        </is>
      </c>
      <c r="D4" s="3" t="inlineStr">
        <is>
          <t>Quantity</t>
        </is>
      </c>
      <c r="E4" s="3" t="inlineStr">
        <is>
          <t>Note</t>
        </is>
      </c>
    </row>
    <row r="5">
      <c r="A5" s="6">
        <v>1</v>
      </c>
      <c r="B5" s="4" t="inlineStr">
        <is>
          <t>Level-3 columns, concrete B25</t>
        </is>
      </c>
      <c r="C5" s="6" t="inlineStr">
        <is>
          <t>m³</t>
        </is>
      </c>
      <c r="D5" s="32">
        <v>38.6</v>
      </c>
      <c r="E5" s="4"/>
    </row>
    <row r="6">
      <c r="A6" s="6">
        <v>2</v>
      </c>
      <c r="B6" s="4" t="inlineStr">
        <is>
          <t>Level-3 column rebar, CB400-V</t>
        </is>
      </c>
      <c r="C6" s="6" t="inlineStr">
        <is>
          <t>t</t>
        </is>
      </c>
      <c r="D6" s="11">
        <v>6.42</v>
      </c>
      <c r="E6" s="4"/>
    </row>
    <row r="7">
      <c r="A7" s="6">
        <v>3</v>
      </c>
      <c r="B7" s="4" t="inlineStr">
        <is>
          <t>Level-3 column formwork</t>
        </is>
      </c>
      <c r="C7" s="6" t="inlineStr">
        <is>
          <t>m²</t>
        </is>
      </c>
      <c r="D7" s="32">
        <v>312.8</v>
      </c>
      <c r="E7" s="4"/>
    </row>
  </sheetData>
  <hyperlinks>
    <hyperlink ref="G1" location="'Index'!A195" display="← Index"/>
  </hyperlinks>
  <pageMargins left="0.7" right="0.7" top="0.75" bottom="0.75" header="0.3" footer="0.3"/>
</worksheet>
</file>

<file path=xl/worksheets/sheet157.xml><?xml version="1.0" encoding="utf-8"?>
<worksheet xmlns="http://schemas.openxmlformats.org/spreadsheetml/2006/main" xmlns:r="http://schemas.openxmlformats.org/officeDocument/2006/relationships">
  <dimension ref="A1:J7"/>
  <sheetViews>
    <sheetView workbookViewId="0">
      <selection activeCell="B3" sqref="B3"/>
    </sheetView>
  </sheetViews>
  <sheetFormatPr defaultRowHeight="15"/>
  <cols>
    <col min="1" max="1" width="2.00" customWidth="1"/>
    <col min="2" max="2" width="5.00" customWidth="1"/>
    <col min="3" max="3" width="10.00" customWidth="1"/>
    <col min="4" max="4" width="16.00" customWidth="1"/>
    <col min="5" max="5" width="19.00" customWidth="1"/>
    <col min="6" max="6" width="17.00" customWidth="1"/>
    <col min="7" max="7" width="6.00" customWidth="1"/>
    <col min="8" max="8" width="34.00" customWidth="1"/>
    <col min="10" max="10" width="12.00" customWidth="1"/>
  </cols>
  <sheetData>
    <row r="1">
      <c r="B1" s="1" t="inlineStr">
        <is>
          <t>E-MAIL MAILING LIST</t>
        </is>
      </c>
      <c r="J1" s="106" t="inlineStr">
        <is>
          <t>← Index</t>
        </is>
      </c>
    </row>
    <row r="3">
      <c r="B3" s="87">
        <v>1</v>
      </c>
      <c r="C3" s="86"/>
      <c r="D3" s="86" t="inlineStr">
        <is>
          <t>qlda@congty.vn</t>
        </is>
      </c>
      <c r="E3" s="86" t="inlineStr">
        <is>
          <t>ntp.dien@congty.vn</t>
        </is>
      </c>
      <c r="F3" s="86" t="inlineStr">
        <is>
          <t>giamsat@congty.vn</t>
        </is>
      </c>
      <c r="G3" s="86"/>
      <c r="H3" s="86" t="inlineStr">
        <is>
          <t>Inspection: L3 electrical</t>
        </is>
      </c>
    </row>
    <row r="4">
      <c r="B4" s="3" t="inlineStr">
        <is>
          <t>No.</t>
        </is>
      </c>
      <c r="C4" s="3" t="inlineStr">
        <is>
          <t>Send Date</t>
        </is>
      </c>
      <c r="D4" s="3" t="inlineStr">
        <is>
          <t>Sender Email</t>
        </is>
      </c>
      <c r="E4" s="3" t="inlineStr">
        <is>
          <t>To</t>
        </is>
      </c>
      <c r="F4" s="3" t="inlineStr">
        <is>
          <t>Cc</t>
        </is>
      </c>
      <c r="G4" s="3" t="inlineStr">
        <is>
          <t>Bcc</t>
        </is>
      </c>
      <c r="H4" s="3" t="inlineStr">
        <is>
          <t>Subject</t>
        </is>
      </c>
    </row>
    <row r="5">
      <c r="B5" s="6">
        <v>1</v>
      </c>
      <c r="C5" s="4"/>
      <c r="D5" s="4" t="inlineStr">
        <is>
          <t>qlda@congty.vn</t>
        </is>
      </c>
      <c r="E5" s="4" t="inlineStr">
        <is>
          <t>ntp.dien@congty.vn</t>
        </is>
      </c>
      <c r="F5" s="4" t="inlineStr">
        <is>
          <t>giamsat@congty.vn</t>
        </is>
      </c>
      <c r="G5" s="4"/>
      <c r="H5" s="4" t="inlineStr">
        <is>
          <t>Inspection: L3 electrical</t>
        </is>
      </c>
    </row>
    <row r="6">
      <c r="B6" s="6">
        <v>2</v>
      </c>
      <c r="C6" s="4"/>
      <c r="D6" s="4" t="inlineStr">
        <is>
          <t>qlda@congty.vn</t>
        </is>
      </c>
      <c r="E6" s="4" t="inlineStr">
        <is>
          <t>ntp.nuoc@congty.vn</t>
        </is>
      </c>
      <c r="F6" s="4" t="inlineStr">
        <is>
          <t>giamsat@congty.vn</t>
        </is>
      </c>
      <c r="G6" s="4"/>
      <c r="H6" s="4" t="inlineStr">
        <is>
          <t>Inspection: L3 plumbing</t>
        </is>
      </c>
    </row>
    <row r="7">
      <c r="B7" s="6">
        <v>3</v>
      </c>
      <c r="C7" s="4"/>
      <c r="D7" s="4" t="inlineStr">
        <is>
          <t>qlda@congty.vn</t>
        </is>
      </c>
      <c r="E7" s="4" t="inlineStr">
        <is>
          <t>ntp.nhom@congty.vn</t>
        </is>
      </c>
      <c r="F7" s="4" t="inlineStr">
        <is>
          <t>giamsat@congty.vn</t>
        </is>
      </c>
      <c r="G7" s="4"/>
      <c r="H7" s="4" t="inlineStr">
        <is>
          <t>Inspection: curtain wall</t>
        </is>
      </c>
    </row>
  </sheetData>
  <hyperlinks>
    <hyperlink ref="J1" location="'Index'!A196" display="← Index"/>
  </hyperlinks>
  <pageMargins left="0.7" right="0.7" top="0.75" bottom="0.75" header="0.3" footer="0.3"/>
</worksheet>
</file>

<file path=xl/worksheets/sheet158.xml><?xml version="1.0" encoding="utf-8"?>
<worksheet xmlns="http://schemas.openxmlformats.org/spreadsheetml/2006/main" xmlns:r="http://schemas.openxmlformats.org/officeDocument/2006/relationships">
  <dimension ref="A1:J12"/>
  <sheetViews>
    <sheetView workbookViewId="0">
      <selection activeCell="B8" sqref="B8"/>
    </sheetView>
  </sheetViews>
  <sheetFormatPr defaultRowHeight="15"/>
  <cols>
    <col min="1" max="1" width="2.00" customWidth="1"/>
    <col min="2" max="2" width="5.00" customWidth="1"/>
    <col min="3" max="3" width="10.00" customWidth="1"/>
    <col min="4" max="4" width="16.00" customWidth="1"/>
    <col min="5" max="5" width="19.00" customWidth="1"/>
    <col min="6" max="6" width="17.00" customWidth="1"/>
    <col min="7" max="7" width="6.00" customWidth="1"/>
    <col min="8" max="8" width="34.00" customWidth="1"/>
    <col min="10" max="10" width="12.00" customWidth="1"/>
  </cols>
  <sheetData>
    <row r="1">
      <c r="J1" s="106" t="inlineStr">
        <is>
          <t>← Index</t>
        </is>
      </c>
    </row>
    <row r="2" hidden="1"/>
    <row r="3" hidden="1"/>
    <row r="4" hidden="1"/>
    <row r="5" hidden="1"/>
    <row r="6" hidden="1"/>
    <row r="7">
      <c r="B7" s="1" t="inlineStr">
        <is>
          <t>DANH MỤC GỬI EMAIL</t>
        </is>
      </c>
    </row>
    <row r="8">
      <c r="B8" s="87">
        <v>1</v>
      </c>
      <c r="C8" s="86"/>
      <c r="D8" s="86" t="inlineStr">
        <is>
          <t>qlda@congty.vn</t>
        </is>
      </c>
      <c r="E8" s="86" t="inlineStr">
        <is>
          <t>ntp.dien@congty.vn</t>
        </is>
      </c>
      <c r="F8" s="86" t="inlineStr">
        <is>
          <t>giamsat@congty.vn</t>
        </is>
      </c>
      <c r="G8" s="86"/>
      <c r="H8" s="86" t="inlineStr">
        <is>
          <t>Inspection: L3 electrical</t>
        </is>
      </c>
    </row>
    <row r="9">
      <c r="B9" s="3" t="inlineStr">
        <is>
          <t>No.</t>
        </is>
      </c>
      <c r="C9" s="3" t="inlineStr">
        <is>
          <t>Send Date</t>
        </is>
      </c>
      <c r="D9" s="3" t="inlineStr">
        <is>
          <t>Sender Email</t>
        </is>
      </c>
      <c r="E9" s="3" t="inlineStr">
        <is>
          <t>To</t>
        </is>
      </c>
      <c r="F9" s="3" t="inlineStr">
        <is>
          <t>Cc</t>
        </is>
      </c>
      <c r="G9" s="3" t="inlineStr">
        <is>
          <t>Bcc</t>
        </is>
      </c>
      <c r="H9" s="3" t="inlineStr">
        <is>
          <t>Subject</t>
        </is>
      </c>
    </row>
    <row r="10">
      <c r="B10" s="6">
        <v>1</v>
      </c>
      <c r="C10" s="4"/>
      <c r="D10" s="4" t="inlineStr">
        <is>
          <t>qlda@congty.vn</t>
        </is>
      </c>
      <c r="E10" s="4" t="inlineStr">
        <is>
          <t>ntp.dien@congty.vn</t>
        </is>
      </c>
      <c r="F10" s="4" t="inlineStr">
        <is>
          <t>giamsat@congty.vn</t>
        </is>
      </c>
      <c r="G10" s="4"/>
      <c r="H10" s="4" t="inlineStr">
        <is>
          <t>Inspection: L3 electrical</t>
        </is>
      </c>
    </row>
    <row r="11">
      <c r="B11" s="6">
        <v>2</v>
      </c>
      <c r="C11" s="4"/>
      <c r="D11" s="4" t="inlineStr">
        <is>
          <t>qlda@congty.vn</t>
        </is>
      </c>
      <c r="E11" s="4" t="inlineStr">
        <is>
          <t>ntp.nuoc@congty.vn</t>
        </is>
      </c>
      <c r="F11" s="4" t="inlineStr">
        <is>
          <t>giamsat@congty.vn</t>
        </is>
      </c>
      <c r="G11" s="4"/>
      <c r="H11" s="4" t="inlineStr">
        <is>
          <t>Inspection: L3 plumbing</t>
        </is>
      </c>
    </row>
    <row r="12">
      <c r="B12" s="6">
        <v>3</v>
      </c>
      <c r="C12" s="4"/>
      <c r="D12" s="4" t="inlineStr">
        <is>
          <t>qlda@congty.vn</t>
        </is>
      </c>
      <c r="E12" s="4" t="inlineStr">
        <is>
          <t>ntp.nhom@congty.vn</t>
        </is>
      </c>
      <c r="F12" s="4" t="inlineStr">
        <is>
          <t>giamsat@congty.vn</t>
        </is>
      </c>
      <c r="G12" s="4"/>
      <c r="H12" s="4" t="inlineStr">
        <is>
          <t>Inspection: curtain wall</t>
        </is>
      </c>
    </row>
  </sheetData>
  <hyperlinks>
    <hyperlink ref="J1" location="'Index'!A198" display="← Index"/>
  </hyperlinks>
  <pageMargins left="0.7" right="0.7" top="0.75" bottom="0.75" header="0.3" footer="0.3"/>
</worksheet>
</file>

<file path=xl/worksheets/sheet159.xml><?xml version="1.0" encoding="utf-8"?>
<worksheet xmlns="http://schemas.openxmlformats.org/spreadsheetml/2006/main" xmlns:r="http://schemas.openxmlformats.org/officeDocument/2006/relationships">
  <dimension ref="A1:H7"/>
  <sheetViews>
    <sheetView workbookViewId="0">
      <selection activeCell="A1" sqref="A1:F1"/>
    </sheetView>
  </sheetViews>
  <sheetFormatPr defaultRowHeight="15"/>
  <cols>
    <col min="1" max="1" width="9.00" customWidth="1"/>
    <col min="2" max="2" width="26.00" customWidth="1"/>
    <col min="3" max="3" width="13.00" customWidth="1"/>
    <col min="4" max="4" width="16.00" customWidth="1"/>
    <col min="5" max="5" width="17.00" customWidth="1"/>
    <col min="6" max="6" width="11.00" customWidth="1"/>
    <col min="8" max="8" width="12.00" customWidth="1"/>
  </cols>
  <sheetData>
    <row r="1">
      <c r="A1" s="84" t="inlineStr">
        <is>
          <t>SoBB</t>
        </is>
      </c>
      <c r="B1" s="84" t="inlineStr">
        <is>
          <t>TenHangMuc</t>
        </is>
      </c>
      <c r="C1" s="84" t="inlineStr">
        <is>
          <t>LyTrinh</t>
        </is>
      </c>
      <c r="D1" s="84" t="inlineStr">
        <is>
          <t>NgayNghiemThu</t>
        </is>
      </c>
      <c r="E1" s="84" t="inlineStr">
        <is>
          <t>NhaThau</t>
        </is>
      </c>
      <c r="F1" s="84" t="inlineStr">
        <is>
          <t>KetLuan</t>
        </is>
      </c>
      <c r="H1" s="106" t="inlineStr">
        <is>
          <t>← Index</t>
        </is>
      </c>
    </row>
    <row r="2">
      <c r="A2" s="4" t="inlineStr">
        <is>
          <t>BB-01</t>
        </is>
      </c>
      <c r="B2" s="4" t="inlineStr">
        <is>
          <t>Storm drain D600</t>
        </is>
      </c>
      <c r="C2" s="4" t="inlineStr">
        <is>
          <t>Km0+000–050</t>
        </is>
      </c>
      <c r="D2" s="55">
        <v>46300</v>
      </c>
      <c r="E2" s="4" t="inlineStr">
        <is>
          <t>Civil crew 1</t>
        </is>
      </c>
      <c r="F2" s="4" t="inlineStr">
        <is>
          <t>Accepted</t>
        </is>
      </c>
    </row>
    <row r="3">
      <c r="A3" s="4" t="inlineStr">
        <is>
          <t>BB-02</t>
        </is>
      </c>
      <c r="B3" s="4" t="inlineStr">
        <is>
          <t>Storm drain D600</t>
        </is>
      </c>
      <c r="C3" s="4" t="inlineStr">
        <is>
          <t>Km0+050–100</t>
        </is>
      </c>
      <c r="D3" s="55">
        <v>46300</v>
      </c>
      <c r="E3" s="4" t="inlineStr">
        <is>
          <t>Civil crew 1</t>
        </is>
      </c>
      <c r="F3" s="4" t="inlineStr">
        <is>
          <t>Accepted</t>
        </is>
      </c>
    </row>
    <row r="4">
      <c r="A4" s="4" t="inlineStr">
        <is>
          <t>BB-03</t>
        </is>
      </c>
      <c r="B4" s="4" t="inlineStr">
        <is>
          <t>Storm drain D800</t>
        </is>
      </c>
      <c r="C4" s="4" t="inlineStr">
        <is>
          <t>Km0+100–150</t>
        </is>
      </c>
      <c r="D4" s="55">
        <v>46301</v>
      </c>
      <c r="E4" s="4" t="inlineStr">
        <is>
          <t>Civil crew 2</t>
        </is>
      </c>
      <c r="F4" s="4" t="inlineStr">
        <is>
          <t>Accepted</t>
        </is>
      </c>
    </row>
    <row r="5">
      <c r="A5" s="4" t="inlineStr">
        <is>
          <t>BB-04</t>
        </is>
      </c>
      <c r="B5" s="4" t="inlineStr">
        <is>
          <t>Manhole HG-04</t>
        </is>
      </c>
      <c r="C5" s="4" t="inlineStr">
        <is>
          <t>Km0+150</t>
        </is>
      </c>
      <c r="D5" s="55">
        <v>46302</v>
      </c>
      <c r="E5" s="4" t="inlineStr">
        <is>
          <t>Civil crew 2</t>
        </is>
      </c>
      <c r="F5" s="4" t="inlineStr">
        <is>
          <t>Accepted</t>
        </is>
      </c>
    </row>
    <row r="6">
      <c r="A6" s="4" t="inlineStr">
        <is>
          <t>BB-05</t>
        </is>
      </c>
      <c r="B6" s="4" t="inlineStr">
        <is>
          <t>Storm drain D800</t>
        </is>
      </c>
      <c r="C6" s="4" t="inlineStr">
        <is>
          <t>Km0+150–200</t>
        </is>
      </c>
      <c r="D6" s="55">
        <v>46303</v>
      </c>
      <c r="E6" s="4" t="inlineStr">
        <is>
          <t>Civil crew 1</t>
        </is>
      </c>
      <c r="F6" s="4" t="inlineStr">
        <is>
          <t>Accepted</t>
        </is>
      </c>
    </row>
    <row r="7">
      <c r="A7" s="4" t="inlineStr">
        <is>
          <t>BB-06</t>
        </is>
      </c>
      <c r="B7" s="4" t="inlineStr">
        <is>
          <t>Manhole HG-05</t>
        </is>
      </c>
      <c r="C7" s="4" t="inlineStr">
        <is>
          <t>Km0+200</t>
        </is>
      </c>
      <c r="D7" s="55">
        <v>46303</v>
      </c>
      <c r="E7" s="4" t="inlineStr">
        <is>
          <t>Civil crew 2</t>
        </is>
      </c>
      <c r="F7" s="4" t="inlineStr">
        <is>
          <t>Accepted</t>
        </is>
      </c>
    </row>
  </sheetData>
  <hyperlinks>
    <hyperlink ref="H1" location="'Index'!A199" display="← Index"/>
  </hyperlinks>
  <pageMargins left="0.7" right="0.7" top="0.75" bottom="0.75" header="0.3" footer="0.3"/>
</worksheet>
</file>

<file path=xl/worksheets/sheet160.xml><?xml version="1.0" encoding="utf-8"?>
<worksheet xmlns="http://schemas.openxmlformats.org/spreadsheetml/2006/main" xmlns:r="http://schemas.openxmlformats.org/officeDocument/2006/relationships">
  <dimension ref="A1:H6"/>
  <sheetViews>
    <sheetView workbookViewId="0">
      <selection activeCell="A3" sqref="A3:F3"/>
    </sheetView>
  </sheetViews>
  <sheetFormatPr defaultRowHeight="15"/>
  <cols>
    <col min="1" max="1" width="10.00" customWidth="1"/>
    <col min="2" max="2" width="14.00" customWidth="1"/>
    <col min="3" max="3" width="28.00" customWidth="1"/>
    <col min="4" max="4" width="15.00" customWidth="1"/>
    <col min="5" max="5" width="15.00" customWidth="1"/>
    <col min="6" max="6" width="15.00" customWidth="1"/>
    <col min="8" max="8" width="12.00" customWidth="1"/>
  </cols>
  <sheetData>
    <row r="1">
      <c r="A1" s="1" t="inlineStr">
        <is>
          <t>INSPECTION REQUEST LOG — 9-STOREY OFFICE BUILDING</t>
        </is>
      </c>
      <c r="H1" s="106" t="inlineStr">
        <is>
          <t>← Index</t>
        </is>
      </c>
    </row>
    <row r="3">
      <c r="A3" s="84" t="inlineStr">
        <is>
          <t>Request No.</t>
        </is>
      </c>
      <c r="B3" s="84" t="inlineStr">
        <is>
          <t>Package</t>
        </is>
      </c>
      <c r="C3" s="84" t="inlineStr">
        <is>
          <t>Work inspected</t>
        </is>
      </c>
      <c r="D3" s="84" t="inlineStr">
        <is>
          <t>Inspection date</t>
        </is>
      </c>
      <c r="E3" s="84" t="inlineStr">
        <is>
          <t>Location</t>
        </is>
      </c>
      <c r="F3" s="84" t="inlineStr">
        <is>
          <t>Contractor</t>
        </is>
      </c>
    </row>
    <row r="4">
      <c r="A4" s="4" t="inlineStr">
        <is>
          <t>YC-031</t>
        </is>
      </c>
      <c r="B4" s="4" t="inlineStr">
        <is>
          <t>Structure</t>
        </is>
      </c>
      <c r="C4" s="4" t="inlineStr">
        <is>
          <t>Level-3 column rebar</t>
        </is>
      </c>
      <c r="D4" s="55">
        <v>46300</v>
      </c>
      <c r="E4" s="4" t="inlineStr">
        <is>
          <t>Grid 1–5</t>
        </is>
      </c>
      <c r="F4" s="4" t="inlineStr">
        <is>
          <t>Rebar crew 2</t>
        </is>
      </c>
    </row>
    <row r="5">
      <c r="A5" s="4" t="inlineStr">
        <is>
          <t>YC-032</t>
        </is>
      </c>
      <c r="B5" s="4" t="inlineStr">
        <is>
          <t>Structure</t>
        </is>
      </c>
      <c r="C5" s="4" t="inlineStr">
        <is>
          <t>Level-3 beam &amp; slab formwork</t>
        </is>
      </c>
      <c r="D5" s="55">
        <v>46302</v>
      </c>
      <c r="E5" s="4" t="inlineStr">
        <is>
          <t>Grid A–D</t>
        </is>
      </c>
      <c r="F5" s="4" t="inlineStr">
        <is>
          <t>Formwork crew 1</t>
        </is>
      </c>
    </row>
    <row r="6">
      <c r="A6" s="4" t="inlineStr">
        <is>
          <t>YC-033</t>
        </is>
      </c>
      <c r="B6" s="4" t="inlineStr">
        <is>
          <t>MEP</t>
        </is>
      </c>
      <c r="C6" s="4" t="inlineStr">
        <is>
          <t>Level-3 cast-in conduits</t>
        </is>
      </c>
      <c r="D6" s="55">
        <v>46303</v>
      </c>
      <c r="E6" s="4" t="inlineStr">
        <is>
          <t>Whole slab</t>
        </is>
      </c>
      <c r="F6" s="4" t="inlineStr">
        <is>
          <t>Electrical sub</t>
        </is>
      </c>
    </row>
  </sheetData>
  <hyperlinks>
    <hyperlink ref="H1" location="'Index'!A200" display="← Index"/>
  </hyperlinks>
  <pageMargins left="0.7" right="0.7" top="0.75" bottom="0.75" header="0.3" footer="0.3"/>
</worksheet>
</file>

<file path=xl/worksheets/sheet161.xml><?xml version="1.0" encoding="utf-8"?>
<worksheet xmlns="http://schemas.openxmlformats.org/spreadsheetml/2006/main" xmlns:r="http://schemas.openxmlformats.org/officeDocument/2006/relationships">
  <dimension ref="A1:H11"/>
  <sheetViews>
    <sheetView workbookViewId="0">
      <selection activeCell="F8" sqref="F8"/>
    </sheetView>
  </sheetViews>
  <sheetFormatPr defaultRowHeight="15"/>
  <cols>
    <col min="1" max="1" width="5.00" customWidth="1"/>
    <col min="2" max="2" width="32.00" customWidth="1"/>
    <col min="3" max="3" width="6.00" customWidth="1"/>
    <col min="4" max="4" width="10.00" customWidth="1"/>
    <col min="5" max="5" width="12.00" customWidth="1"/>
    <col min="6" max="6" width="14.00" customWidth="1"/>
    <col min="8" max="8" width="12.00" customWidth="1"/>
  </cols>
  <sheetData>
    <row r="1">
      <c r="A1" s="1" t="inlineStr">
        <is>
          <t>SUPERSTRUCTURE BILL OF QUANTITIES — 9-STOREY OFFICE</t>
        </is>
      </c>
      <c r="F1" s="88"/>
      <c r="H1" s="106" t="inlineStr">
        <is>
          <t>← Index</t>
        </is>
      </c>
    </row>
    <row r="2">
      <c r="F2" s="88"/>
    </row>
    <row r="3">
      <c r="A3" s="3" t="inlineStr">
        <is>
          <t>No.</t>
        </is>
      </c>
      <c r="B3" s="3" t="inlineStr">
        <is>
          <t>Work item</t>
        </is>
      </c>
      <c r="C3" s="3" t="inlineStr">
        <is>
          <t>Unit</t>
        </is>
      </c>
      <c r="D3" s="3" t="inlineStr">
        <is>
          <t>Quantity</t>
        </is>
      </c>
      <c r="E3" s="3" t="inlineStr">
        <is>
          <t>Rate</t>
        </is>
      </c>
      <c r="F3" s="89" t="inlineStr">
        <is>
          <t>Amount</t>
        </is>
      </c>
    </row>
    <row r="4" ht="21.00" customHeight="1">
      <c r="A4" s="6">
        <v>1</v>
      </c>
      <c r="B4" s="4" t="inlineStr">
        <is>
          <t>Column concrete B30, 1x2 aggregate</t>
        </is>
      </c>
      <c r="C4" s="6" t="inlineStr">
        <is>
          <t>m³</t>
        </is>
      </c>
      <c r="D4" s="32">
        <v>48.6</v>
      </c>
      <c r="E4" s="33">
        <v>1912000</v>
      </c>
      <c r="F4" s="90">
        <f>D4*E4</f>
        <v>92923200.0</v>
      </c>
    </row>
    <row r="5" ht="21.00" customHeight="1">
      <c r="A5" s="6">
        <v>2</v>
      </c>
      <c r="B5" s="4" t="inlineStr">
        <is>
          <t>Beam concrete B30</t>
        </is>
      </c>
      <c r="C5" s="6" t="inlineStr">
        <is>
          <t>m³</t>
        </is>
      </c>
      <c r="D5" s="32">
        <v>86.2</v>
      </c>
      <c r="E5" s="33">
        <v>1865000</v>
      </c>
      <c r="F5" s="90">
        <f>D5*E5</f>
        <v>160763000.0</v>
      </c>
    </row>
    <row r="6" ht="21.00" customHeight="1">
      <c r="A6" s="6">
        <v>3</v>
      </c>
      <c r="B6" s="4" t="inlineStr">
        <is>
          <t>Slab concrete B30</t>
        </is>
      </c>
      <c r="C6" s="6" t="inlineStr">
        <is>
          <t>m³</t>
        </is>
      </c>
      <c r="D6" s="32">
        <v>142.5</v>
      </c>
      <c r="E6" s="33">
        <v>1840000</v>
      </c>
      <c r="F6" s="90">
        <f>D6*E6</f>
        <v>262200000.0</v>
      </c>
    </row>
    <row r="7" ht="21.00" customHeight="1">
      <c r="A7" s="6">
        <v>4</v>
      </c>
      <c r="B7" s="4" t="inlineStr">
        <is>
          <t>Column rebar CB400-V, D ≤ 18</t>
        </is>
      </c>
      <c r="C7" s="6" t="inlineStr">
        <is>
          <t>t</t>
        </is>
      </c>
      <c r="D7" s="11">
        <v>9.84</v>
      </c>
      <c r="E7" s="33">
        <v>22150000</v>
      </c>
      <c r="F7" s="90">
        <f>D7*E7</f>
        <v>217956000.0</v>
      </c>
    </row>
    <row r="8" ht="21.00" customHeight="1">
      <c r="A8" s="91">
        <v>5</v>
      </c>
      <c r="B8" s="92" t="inlineStr">
        <is>
          <t>Beam rebar CB400-V, D ≤ 18</t>
        </is>
      </c>
      <c r="C8" s="91" t="inlineStr">
        <is>
          <t>t</t>
        </is>
      </c>
      <c r="D8" s="93">
        <v>14.26</v>
      </c>
      <c r="E8" s="90">
        <v>21980000</v>
      </c>
      <c r="F8" s="33">
        <f>D8*E8</f>
        <v>313434800.0</v>
      </c>
    </row>
    <row r="9" ht="21.00" customHeight="1">
      <c r="A9" s="6">
        <v>6</v>
      </c>
      <c r="B9" s="4" t="inlineStr">
        <is>
          <t>Column formwork</t>
        </is>
      </c>
      <c r="C9" s="6" t="inlineStr">
        <is>
          <t>m²</t>
        </is>
      </c>
      <c r="D9" s="32">
        <v>412</v>
      </c>
      <c r="E9" s="33">
        <v>186500</v>
      </c>
      <c r="F9" s="90">
        <f>D9*E9</f>
        <v>76838000.0</v>
      </c>
    </row>
    <row r="10" ht="21.00" customHeight="1">
      <c r="A10" s="6">
        <v>7</v>
      </c>
      <c r="B10" s="4" t="inlineStr">
        <is>
          <t>Beam and slab formwork</t>
        </is>
      </c>
      <c r="C10" s="6" t="inlineStr">
        <is>
          <t>m²</t>
        </is>
      </c>
      <c r="D10" s="32">
        <v>1286</v>
      </c>
      <c r="E10" s="33">
        <v>172000</v>
      </c>
      <c r="F10" s="90">
        <f>D10*E10</f>
        <v>221192000.0</v>
      </c>
    </row>
    <row r="11">
      <c r="F11" s="88"/>
    </row>
  </sheetData>
  <hyperlinks>
    <hyperlink ref="H1" location="'Index'!A201" display="← Index"/>
  </hyperlinks>
  <pageMargins left="0.7" right="0.7" top="0.75" bottom="0.75" header="0.3" footer="0.3"/>
</worksheet>
</file>

<file path=xl/worksheets/sheet162.xml><?xml version="1.0" encoding="utf-8"?>
<worksheet xmlns="http://schemas.openxmlformats.org/spreadsheetml/2006/main" xmlns:r="http://schemas.openxmlformats.org/officeDocument/2006/relationships">
  <dimension ref="A1:F6"/>
  <sheetViews>
    <sheetView workbookViewId="0">
      <selection activeCell="A1" sqref="A1"/>
    </sheetView>
  </sheetViews>
  <sheetFormatPr defaultRowHeight="15"/>
  <cols>
    <col min="1" max="1" width="8.00" customWidth="1"/>
    <col min="2" max="2" width="34.00" customWidth="1"/>
    <col min="3" max="3" width="8.00" customWidth="1"/>
    <col min="4" max="4" width="16.00" customWidth="1"/>
    <col min="6" max="6" width="12.00" customWidth="1"/>
  </cols>
  <sheetData>
    <row r="1">
      <c r="B1" s="1" t="inlineStr">
        <is>
          <t>INTERIM PAYMENT No. 2 — SUMMARY</t>
        </is>
      </c>
      <c r="F1" s="106" t="inlineStr">
        <is>
          <t>← Index</t>
        </is>
      </c>
    </row>
    <row r="3">
      <c r="A3" s="3" t="inlineStr">
        <is>
          <t>No.</t>
        </is>
      </c>
      <c r="B3" s="3" t="inlineStr">
        <is>
          <t>Work package</t>
        </is>
      </c>
      <c r="C3" s="3" t="inlineStr">
        <is>
          <t>Unit</t>
        </is>
      </c>
      <c r="D3" s="3" t="inlineStr">
        <is>
          <t>Amount</t>
        </is>
      </c>
    </row>
    <row r="4">
      <c r="A4" s="6">
        <v>1</v>
      </c>
      <c r="B4" s="4" t="inlineStr">
        <is>
          <t>Foundations</t>
        </is>
      </c>
      <c r="C4" s="6" t="inlineStr">
        <is>
          <t>VND</t>
        </is>
      </c>
      <c r="D4" s="33">
        <v>4856200000</v>
      </c>
    </row>
    <row r="5">
      <c r="A5" s="6">
        <v>2</v>
      </c>
      <c r="B5" s="4" t="inlineStr">
        <is>
          <t>Superstructure</t>
        </is>
      </c>
      <c r="C5" s="6" t="inlineStr">
        <is>
          <t>VND</t>
        </is>
      </c>
      <c r="D5" s="33">
        <v>7312450000</v>
      </c>
    </row>
    <row r="6">
      <c r="A6" s="6">
        <v>3</v>
      </c>
      <c r="B6" s="4" t="inlineStr">
        <is>
          <t>Finishes</t>
        </is>
      </c>
      <c r="C6" s="6" t="inlineStr">
        <is>
          <t>VND</t>
        </is>
      </c>
      <c r="D6" s="33">
        <v>2104800000</v>
      </c>
    </row>
  </sheetData>
  <hyperlinks>
    <hyperlink ref="F1" location="'Index'!A202" display="← Index"/>
  </hyperlinks>
  <pageMargins left="0.7" right="0.7" top="0.75" bottom="0.75" header="0.3" footer="0.3"/>
</worksheet>
</file>

<file path=xl/worksheets/sheet163.xml><?xml version="1.0" encoding="utf-8"?>
<worksheet xmlns="http://schemas.openxmlformats.org/spreadsheetml/2006/main" xmlns:r="http://schemas.openxmlformats.org/officeDocument/2006/relationships">
  <dimension ref="A1:F5"/>
  <sheetViews>
    <sheetView workbookViewId="0"/>
  </sheetViews>
  <sheetFormatPr defaultRowHeight="15"/>
  <cols>
    <col min="1" max="1" width="3.00" customWidth="1"/>
    <col min="2" max="2" width="20.00" customWidth="1"/>
    <col min="3" max="3" width="24.00" customWidth="1"/>
    <col min="4" max="4" width="8.00" customWidth="1"/>
    <col min="6" max="6" width="12.00" customWidth="1"/>
  </cols>
  <sheetData>
    <row r="1">
      <c r="B1" s="3" t="inlineStr">
        <is>
          <t>Old sheet name</t>
        </is>
      </c>
      <c r="C1" s="3" t="inlineStr">
        <is>
          <t>New sheet name</t>
        </is>
      </c>
      <c r="F1" s="106" t="inlineStr">
        <is>
          <t>← Index</t>
        </is>
      </c>
    </row>
    <row r="2">
      <c r="B2" s="4" t="inlineStr">
        <is>
          <t>Sheet1</t>
        </is>
      </c>
      <c r="C2" s="4" t="inlineStr">
        <is>
          <t>01-TH-Khoiluong</t>
        </is>
      </c>
    </row>
    <row r="3">
      <c r="B3" s="4" t="inlineStr">
        <is>
          <t>Sheet2</t>
        </is>
      </c>
      <c r="C3" s="4" t="inlineStr">
        <is>
          <t>02-KL-Mongcoc</t>
        </is>
      </c>
    </row>
    <row r="4">
      <c r="B4" s="4" t="inlineStr">
        <is>
          <t>Sheet3</t>
        </is>
      </c>
      <c r="C4" s="4" t="inlineStr">
        <is>
          <t>03-KL-Dammong</t>
        </is>
      </c>
    </row>
    <row r="5">
      <c r="B5" s="4" t="inlineStr">
        <is>
          <t>KL than</t>
        </is>
      </c>
      <c r="C5" s="4" t="inlineStr">
        <is>
          <t>04-KL-Than</t>
        </is>
      </c>
    </row>
  </sheetData>
  <hyperlinks>
    <hyperlink ref="F1" location="'Index'!A203" display="← Index"/>
  </hyperlinks>
  <pageMargins left="0.7" right="0.7" top="0.75" bottom="0.75" header="0.3" footer="0.3"/>
</worksheet>
</file>

<file path=xl/worksheets/sheet164.xml><?xml version="1.0" encoding="utf-8"?>
<worksheet xmlns="http://schemas.openxmlformats.org/spreadsheetml/2006/main" xmlns:r="http://schemas.openxmlformats.org/officeDocument/2006/relationships">
  <dimension ref="A1:D7"/>
  <sheetViews>
    <sheetView workbookViewId="0">
      <selection activeCell="A1" sqref="A1"/>
    </sheetView>
  </sheetViews>
  <sheetFormatPr defaultRowHeight="15"/>
  <cols>
    <col min="1" max="1" width="62.00" customWidth="1"/>
    <col min="2" max="2" width="8.00" customWidth="1"/>
    <col min="4" max="4" width="12.00" customWidth="1"/>
  </cols>
  <sheetData>
    <row r="1">
      <c r="A1" s="1" t="inlineStr">
        <is>
          <t>COST ESTIMATE — METHOD STATEMENT</t>
        </is>
      </c>
      <c r="D1" s="106" t="inlineStr">
        <is>
          <t>← Index</t>
        </is>
      </c>
    </row>
    <row r="2">
      <c r="A2" s="18" t="inlineStr">
        <is>
          <t>Project: 9-storey office building</t>
        </is>
      </c>
    </row>
    <row r="3">
      <c r="A3" s="18" t="inlineStr">
        <is>
          <t>Scope: foundations and superstructure</t>
        </is>
      </c>
    </row>
    <row r="5">
      <c r="A5" s="1" t="inlineStr">
        <is>
          <t>1. Basis of the estimate</t>
        </is>
      </c>
    </row>
    <row r="6">
      <c r="A6" s="18" t="inlineStr">
        <is>
          <t>- Approved construction drawings</t>
        </is>
      </c>
    </row>
    <row r="7">
      <c r="A7" s="18" t="inlineStr">
        <is>
          <t>- Published material prices, September 2026</t>
        </is>
      </c>
    </row>
  </sheetData>
  <hyperlinks>
    <hyperlink ref="D1" location="'Index'!A204" display="← Index"/>
  </hyperlinks>
  <pageMargins left="0.7" right="0.7" top="0.75" bottom="0.75" header="0.3" footer="0.3"/>
</worksheet>
</file>

<file path=xl/worksheets/sheet165.xml><?xml version="1.0" encoding="utf-8"?>
<worksheet xmlns="http://schemas.openxmlformats.org/spreadsheetml/2006/main" xmlns:r="http://schemas.openxmlformats.org/officeDocument/2006/relationships">
  <dimension ref="A1:I6"/>
  <sheetViews>
    <sheetView workbookViewId="0">
      <selection activeCell="D4" sqref="D4"/>
    </sheetView>
  </sheetViews>
  <sheetFormatPr defaultRowHeight="15"/>
  <cols>
    <col min="1" max="1" width="6.00" customWidth="1"/>
    <col min="2" max="2" width="34.00" customWidth="1"/>
    <col min="3" max="3" width="8.00" customWidth="1"/>
    <col min="4" max="4" width="14.00" customWidth="1"/>
    <col min="5" max="5" width="8.00" customWidth="1"/>
    <col min="6" max="6" width="8.00" customWidth="1"/>
    <col min="7" max="7" width="8.00" customWidth="1"/>
    <col min="9" max="9" width="12.00" customWidth="1"/>
  </cols>
  <sheetData>
    <row r="1">
      <c r="B1" s="1" t="inlineStr">
        <is>
          <t>STRUCTURAL WORKS — QUANTITY SUMMARY</t>
        </is>
      </c>
      <c r="I1" s="106" t="inlineStr">
        <is>
          <t>← Index</t>
        </is>
      </c>
    </row>
    <row r="3">
      <c r="A3" s="3" t="inlineStr">
        <is>
          <t>No.</t>
        </is>
      </c>
      <c r="B3" s="3" t="inlineStr">
        <is>
          <t>Item</t>
        </is>
      </c>
      <c r="C3" s="3" t="inlineStr">
        <is>
          <t>Unit</t>
        </is>
      </c>
      <c r="D3" s="3" t="inlineStr">
        <is>
          <t>Quantity</t>
        </is>
      </c>
    </row>
    <row r="4">
      <c r="A4" s="6">
        <v>1</v>
      </c>
      <c r="B4" s="4" t="inlineStr">
        <is>
          <t>Pile caps and ground beams, B25</t>
        </is>
      </c>
      <c r="C4" s="6" t="inlineStr">
        <is>
          <t>m³</t>
        </is>
      </c>
      <c r="D4" s="32">
        <f>'Khối lượng móng'!$F$120</f>
        <v>412.6</v>
      </c>
    </row>
    <row r="5">
      <c r="A5" s="6">
        <v>2</v>
      </c>
      <c r="B5" s="4" t="inlineStr">
        <is>
          <t>Foundation rebar CB400-V</t>
        </is>
      </c>
      <c r="C5" s="6" t="inlineStr">
        <is>
          <t>t</t>
        </is>
      </c>
      <c r="D5" s="32">
        <v>38.4</v>
      </c>
    </row>
    <row r="6">
      <c r="A6" s="6">
        <v>3</v>
      </c>
      <c r="B6" s="4" t="inlineStr">
        <is>
          <t>Columns, beams, slabs, B30</t>
        </is>
      </c>
      <c r="C6" s="6" t="inlineStr">
        <is>
          <t>m³</t>
        </is>
      </c>
      <c r="D6" s="32">
        <v>1286</v>
      </c>
    </row>
  </sheetData>
  <hyperlinks>
    <hyperlink ref="I1" location="'Index'!A205" display="← Index"/>
  </hyperlinks>
  <pageMargins left="0.7" right="0.7" top="0.75" bottom="0.75" header="0.3" footer="0.3"/>
</worksheet>
</file>

<file path=xl/worksheets/sheet166.xml><?xml version="1.0" encoding="utf-8"?>
<worksheet xmlns="http://schemas.openxmlformats.org/spreadsheetml/2006/main" xmlns:r="http://schemas.openxmlformats.org/officeDocument/2006/relationships">
  <dimension ref="A1:H120"/>
  <sheetViews>
    <sheetView workbookViewId="0"/>
  </sheetViews>
  <sheetFormatPr defaultRowHeight="15"/>
  <cols>
    <col min="5" max="5" width="10.00" customWidth="1"/>
    <col min="6" max="6" width="12.00" customWidth="1"/>
    <col min="8" max="8" width="12.00" customWidth="1"/>
  </cols>
  <sheetData>
    <row r="1">
      <c r="A1" s="1" t="inlineStr">
        <is>
          <t>FOUNDATION QUANTITIES</t>
        </is>
      </c>
      <c r="H1" s="106" t="inlineStr">
        <is>
          <t>← Index</t>
        </is>
      </c>
    </row>
    <row r="120">
      <c r="E120" s="1" t="inlineStr">
        <is>
          <t>Total</t>
        </is>
      </c>
      <c r="F120" s="94">
        <v>412.6</v>
      </c>
    </row>
  </sheetData>
  <hyperlinks>
    <hyperlink ref="H1" location="'Index'!A205" display="← Index"/>
  </hyperlinks>
  <pageMargins left="0.7" right="0.7" top="0.75" bottom="0.75" header="0.3" footer="0.3"/>
</worksheet>
</file>

<file path=xl/worksheets/sheet167.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PILE CAPS - PILES</t>
        </is>
      </c>
      <c r="C1" s="106" t="inlineStr">
        <is>
          <t>← Index</t>
        </is>
      </c>
    </row>
  </sheetData>
  <hyperlinks>
    <hyperlink ref="C1" location="'Index'!A205" display="← Index"/>
  </hyperlinks>
  <pageMargins left="0.7" right="0.7" top="0.75" bottom="0.75" header="0.3" footer="0.3"/>
</worksheet>
</file>

<file path=xl/worksheets/sheet168.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REBAR INSPECTION</t>
        </is>
      </c>
      <c r="C1" s="106" t="inlineStr">
        <is>
          <t>← Index</t>
        </is>
      </c>
    </row>
  </sheetData>
  <hyperlinks>
    <hyperlink ref="C1" location="'Index'!A205" display="← Index"/>
  </hyperlinks>
  <pageMargins left="0.7" right="0.7" top="0.75" bottom="0.75" header="0.3" footer="0.3"/>
</worksheet>
</file>

<file path=xl/worksheets/sheet169.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APPENDIX 01</t>
        </is>
      </c>
      <c r="C1" s="106" t="inlineStr">
        <is>
          <t>← Index</t>
        </is>
      </c>
    </row>
  </sheetData>
  <hyperlinks>
    <hyperlink ref="C1" location="'Index'!A205" display="← Index"/>
  </hyperlinks>
  <pageMargins left="0.7" right="0.7" top="0.75" bottom="0.75" header="0.3" footer="0.3"/>
</worksheet>
</file>

<file path=xl/worksheets/sheet170.xml><?xml version="1.0" encoding="utf-8"?>
<worksheet xmlns="http://schemas.openxmlformats.org/spreadsheetml/2006/main" xmlns:r="http://schemas.openxmlformats.org/officeDocument/2006/relationships">
  <dimension ref="A1:H6"/>
  <sheetViews>
    <sheetView workbookViewId="0">
      <selection activeCell="C4" sqref="C4"/>
    </sheetView>
  </sheetViews>
  <sheetFormatPr defaultRowHeight="15"/>
  <cols>
    <col min="1" max="1" width="6.00" customWidth="1"/>
    <col min="2" max="2" width="36.00" customWidth="1"/>
    <col min="3" max="3" width="18.00" customWidth="1"/>
    <col min="4" max="4" width="8.00" customWidth="1"/>
    <col min="5" max="5" width="8.00" customWidth="1"/>
    <col min="6" max="6" width="8.00" customWidth="1"/>
    <col min="8" max="8" width="12.00" customWidth="1"/>
  </cols>
  <sheetData>
    <row r="1">
      <c r="B1" s="1" t="inlineStr">
        <is>
          <t>PACKAGE XL-02 — ESTIMATE SUMMARY</t>
        </is>
      </c>
      <c r="H1" s="106" t="inlineStr">
        <is>
          <t>← Index</t>
        </is>
      </c>
    </row>
    <row r="3">
      <c r="A3" s="3" t="inlineStr">
        <is>
          <t>No.</t>
        </is>
      </c>
      <c r="B3" s="3" t="inlineStr">
        <is>
          <t>Cost item</t>
        </is>
      </c>
      <c r="C3" s="3" t="inlineStr">
        <is>
          <t>Amount (VND)</t>
        </is>
      </c>
    </row>
    <row r="4">
      <c r="A4" s="6">
        <v>1</v>
      </c>
      <c r="B4" s="4" t="inlineStr">
        <is>
          <t>Construction cost</t>
        </is>
      </c>
      <c r="C4" s="33">
        <f>'KL-Mong'!$H$54+'KL-Than'!$H$86</f>
        <v>18426500000.0</v>
      </c>
    </row>
    <row r="5">
      <c r="A5" s="6">
        <v>2</v>
      </c>
      <c r="B5" s="4" t="inlineStr">
        <is>
          <t>Equipment cost</t>
        </is>
      </c>
      <c r="C5" s="33">
        <v>2315000000</v>
      </c>
    </row>
    <row r="6">
      <c r="A6" s="6">
        <v>3</v>
      </c>
      <c r="B6" s="4" t="inlineStr">
        <is>
          <t>Contingency</t>
        </is>
      </c>
      <c r="C6" s="33">
        <v>1037075000</v>
      </c>
    </row>
  </sheetData>
  <hyperlinks>
    <hyperlink ref="H1" location="'Index'!A206" display="← Index"/>
  </hyperlinks>
  <pageMargins left="0.7" right="0.7" top="0.75" bottom="0.75" header="0.3" footer="0.3"/>
</worksheet>
</file>

<file path=xl/worksheets/sheet171.xml><?xml version="1.0" encoding="utf-8"?>
<worksheet xmlns="http://schemas.openxmlformats.org/spreadsheetml/2006/main" xmlns:r="http://schemas.openxmlformats.org/officeDocument/2006/relationships">
  <dimension ref="A1:J54"/>
  <sheetViews>
    <sheetView workbookViewId="0"/>
  </sheetViews>
  <sheetFormatPr defaultRowHeight="15"/>
  <cols>
    <col min="7" max="7" width="10.00" customWidth="1"/>
    <col min="8" max="8" width="16.00" customWidth="1"/>
    <col min="10" max="10" width="12.00" customWidth="1"/>
  </cols>
  <sheetData>
    <row r="1">
      <c r="A1" s="1" t="inlineStr">
        <is>
          <t>FOUNDATION QUANTITIES</t>
        </is>
      </c>
      <c r="J1" s="106" t="inlineStr">
        <is>
          <t>← Index</t>
        </is>
      </c>
    </row>
    <row r="54">
      <c r="G54" s="1" t="inlineStr">
        <is>
          <t>Total</t>
        </is>
      </c>
      <c r="H54" s="95">
        <v>6218300000</v>
      </c>
    </row>
  </sheetData>
  <hyperlinks>
    <hyperlink ref="J1" location="'Index'!A206" display="← Index"/>
  </hyperlinks>
  <pageMargins left="0.7" right="0.7" top="0.75" bottom="0.75" header="0.3" footer="0.3"/>
</worksheet>
</file>

<file path=xl/worksheets/sheet172.xml><?xml version="1.0" encoding="utf-8"?>
<worksheet xmlns="http://schemas.openxmlformats.org/spreadsheetml/2006/main" xmlns:r="http://schemas.openxmlformats.org/officeDocument/2006/relationships">
  <dimension ref="A1:J86"/>
  <sheetViews>
    <sheetView workbookViewId="0"/>
  </sheetViews>
  <sheetFormatPr defaultRowHeight="15"/>
  <cols>
    <col min="7" max="7" width="10.00" customWidth="1"/>
    <col min="8" max="8" width="16.00" customWidth="1"/>
    <col min="10" max="10" width="12.00" customWidth="1"/>
  </cols>
  <sheetData>
    <row r="1">
      <c r="A1" s="1" t="inlineStr">
        <is>
          <t>SUPERSTRUCTURE QUANTITIES</t>
        </is>
      </c>
      <c r="J1" s="106" t="inlineStr">
        <is>
          <t>← Index</t>
        </is>
      </c>
    </row>
    <row r="86">
      <c r="G86" s="1" t="inlineStr">
        <is>
          <t>Total</t>
        </is>
      </c>
      <c r="H86" s="95">
        <v>12208200000</v>
      </c>
    </row>
  </sheetData>
  <hyperlinks>
    <hyperlink ref="J1" location="'Index'!A206" display="← Index"/>
  </hyperlinks>
  <pageMargins left="0.7" right="0.7" top="0.75" bottom="0.75" header="0.3" footer="0.3"/>
</worksheet>
</file>

<file path=xl/worksheets/sheet173.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INTERNAL RATES — not for sending</t>
        </is>
      </c>
      <c r="C1" s="106" t="inlineStr">
        <is>
          <t>← Index</t>
        </is>
      </c>
    </row>
  </sheetData>
  <hyperlinks>
    <hyperlink ref="C1" location="'Index'!A206" display="← Index"/>
  </hyperlinks>
  <pageMargins left="0.7" right="0.7" top="0.75" bottom="0.75" header="0.3" footer="0.3"/>
</worksheet>
</file>

<file path=xl/worksheets/sheet174.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RATE BREAKDOWN — not for sending</t>
        </is>
      </c>
      <c r="C1" s="106" t="inlineStr">
        <is>
          <t>← Index</t>
        </is>
      </c>
    </row>
  </sheetData>
  <hyperlinks>
    <hyperlink ref="C1" location="'Index'!A206" display="← Index"/>
  </hyperlinks>
  <pageMargins left="0.7" right="0.7" top="0.75" bottom="0.75" header="0.3" footer="0.3"/>
</worksheet>
</file>

<file path=xl/worksheets/sheet175.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APPENDIX</t>
        </is>
      </c>
      <c r="C1" s="106" t="inlineStr">
        <is>
          <t>← Index</t>
        </is>
      </c>
    </row>
  </sheetData>
  <hyperlinks>
    <hyperlink ref="C1" location="'Index'!A206" display="← Index"/>
  </hyperlinks>
  <pageMargins left="0.7" right="0.7" top="0.75" bottom="0.75" header="0.3" footer="0.3"/>
</worksheet>
</file>

<file path=xl/worksheets/sheet176.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DRAFT — not for sending</t>
        </is>
      </c>
      <c r="C1" s="106" t="inlineStr">
        <is>
          <t>← Index</t>
        </is>
      </c>
    </row>
  </sheetData>
  <hyperlinks>
    <hyperlink ref="C1" location="'Index'!A206" display="← Index"/>
  </hyperlinks>
  <pageMargins left="0.7" right="0.7" top="0.75" bottom="0.75" header="0.3" footer="0.3"/>
</worksheet>
</file>

<file path=xl/worksheets/sheet177.xml><?xml version="1.0" encoding="utf-8"?>
<worksheet xmlns="http://schemas.openxmlformats.org/spreadsheetml/2006/main" xmlns:r="http://schemas.openxmlformats.org/officeDocument/2006/relationships">
  <dimension ref="A1:H6"/>
  <sheetViews>
    <sheetView workbookViewId="0">
      <selection activeCell="D4" sqref="D4"/>
    </sheetView>
  </sheetViews>
  <sheetFormatPr defaultRowHeight="15"/>
  <cols>
    <col min="1" max="1" width="6.00" customWidth="1"/>
    <col min="2" max="2" width="34.00" customWidth="1"/>
    <col min="3" max="3" width="8.00" customWidth="1"/>
    <col min="4" max="4" width="16.00" customWidth="1"/>
    <col min="5" max="5" width="8.00" customWidth="1"/>
    <col min="6" max="6" width="8.00" customWidth="1"/>
    <col min="8" max="8" width="12.00" customWidth="1"/>
  </cols>
  <sheetData>
    <row r="1">
      <c r="B1" s="1" t="inlineStr">
        <is>
          <t>UNIT RATE SUMMARY</t>
        </is>
      </c>
      <c r="H1" s="106" t="inlineStr">
        <is>
          <t>← Index</t>
        </is>
      </c>
    </row>
    <row r="3">
      <c r="A3" s="3" t="inlineStr">
        <is>
          <t>No.</t>
        </is>
      </c>
      <c r="B3" s="3" t="inlineStr">
        <is>
          <t>Work item</t>
        </is>
      </c>
      <c r="C3" s="3" t="inlineStr">
        <is>
          <t>Unit</t>
        </is>
      </c>
      <c r="D3" s="3" t="inlineStr">
        <is>
          <t>Rate (VND)</t>
        </is>
      </c>
    </row>
    <row r="4">
      <c r="A4" s="6">
        <v>1</v>
      </c>
      <c r="B4" s="4" t="inlineStr">
        <is>
          <t>Foundation concrete B25</t>
        </is>
      </c>
      <c r="C4" s="6" t="inlineStr">
        <is>
          <t>m³</t>
        </is>
      </c>
      <c r="D4" s="33">
        <f>'Chietinh-VT'!$G$42</f>
        <v>1865400.0</v>
      </c>
    </row>
    <row r="5">
      <c r="A5" s="6">
        <v>2</v>
      </c>
      <c r="B5" s="4" t="inlineStr">
        <is>
          <t>Foundation rebar CB400-V, D ≤ 18</t>
        </is>
      </c>
      <c r="C5" s="6" t="inlineStr">
        <is>
          <t>t</t>
        </is>
      </c>
      <c r="D5" s="33">
        <v>22150000</v>
      </c>
    </row>
    <row r="6">
      <c r="A6" s="6">
        <v>3</v>
      </c>
      <c r="B6" s="4" t="inlineStr">
        <is>
          <t>Foundation formwork</t>
        </is>
      </c>
      <c r="C6" s="6" t="inlineStr">
        <is>
          <t>m²</t>
        </is>
      </c>
      <c r="D6" s="33">
        <v>186500</v>
      </c>
    </row>
  </sheetData>
  <hyperlinks>
    <hyperlink ref="H1" location="'Index'!A207" display="← Index"/>
  </hyperlinks>
  <pageMargins left="0.7" right="0.7" top="0.75" bottom="0.75" header="0.3" footer="0.3"/>
</worksheet>
</file>

<file path=xl/worksheets/sheet178.xml><?xml version="1.0" encoding="utf-8"?>
<worksheet xmlns="http://schemas.openxmlformats.org/spreadsheetml/2006/main" xmlns:r="http://schemas.openxmlformats.org/officeDocument/2006/relationships">
  <dimension ref="A1:I42"/>
  <sheetViews>
    <sheetView workbookViewId="0"/>
  </sheetViews>
  <sheetFormatPr defaultRowHeight="15"/>
  <cols>
    <col min="6" max="6" width="10.00" customWidth="1"/>
    <col min="7" max="7" width="14.00" customWidth="1"/>
    <col min="9" max="9" width="12.00" customWidth="1"/>
  </cols>
  <sheetData>
    <row r="1">
      <c r="A1" s="1" t="inlineStr">
        <is>
          <t>MATERIAL RATE BREAKDOWN (hidden sheet)</t>
        </is>
      </c>
      <c r="I1" s="106" t="inlineStr">
        <is>
          <t>← Index</t>
        </is>
      </c>
    </row>
    <row r="42">
      <c r="F42" s="1" t="inlineStr">
        <is>
          <t>Unit rate</t>
        </is>
      </c>
      <c r="G42" s="95">
        <v>1865400</v>
      </c>
    </row>
  </sheetData>
  <hyperlinks>
    <hyperlink ref="I1" location="'Index'!A207" display="← Index"/>
  </hyperlinks>
  <pageMargins left="0.7" right="0.7" top="0.75" bottom="0.75" header="0.3" footer="0.3"/>
</worksheet>
</file>

<file path=xl/worksheets/sheet179.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MATERIAL PRICES (hidden sheet)</t>
        </is>
      </c>
      <c r="C1" s="106" t="inlineStr">
        <is>
          <t>← Index</t>
        </is>
      </c>
    </row>
  </sheetData>
  <hyperlinks>
    <hyperlink ref="C1" location="'Index'!A207" display="← Index"/>
  </hyperlinks>
  <pageMargins left="0.7" right="0.7" top="0.75" bottom="0.75" header="0.3" footer="0.3"/>
</worksheet>
</file>

<file path=xl/worksheets/sheet180.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DETAILED RATES (hidden sheet)</t>
        </is>
      </c>
      <c r="C1" s="106" t="inlineStr">
        <is>
          <t>← Index</t>
        </is>
      </c>
    </row>
  </sheetData>
  <hyperlinks>
    <hyperlink ref="C1" location="'Index'!A207" display="← Index"/>
  </hyperlinks>
  <pageMargins left="0.7" right="0.7" top="0.75" bottom="0.75" header="0.3" footer="0.3"/>
</worksheet>
</file>

<file path=xl/worksheets/sheet181.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QUANTITIES</t>
        </is>
      </c>
      <c r="C1" s="106" t="inlineStr">
        <is>
          <t>← Index</t>
        </is>
      </c>
    </row>
  </sheetData>
  <hyperlinks>
    <hyperlink ref="C1" location="'Index'!A207" display="← Index"/>
  </hyperlinks>
  <pageMargins left="0.7" right="0.7" top="0.75" bottom="0.75" header="0.3" footer="0.3"/>
</worksheet>
</file>

<file path=xl/worksheets/sheet182.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APPENDIX</t>
        </is>
      </c>
      <c r="C1" s="106" t="inlineStr">
        <is>
          <t>← Index</t>
        </is>
      </c>
    </row>
  </sheetData>
  <hyperlinks>
    <hyperlink ref="C1" location="'Index'!A207" display="← Index"/>
  </hyperlinks>
  <pageMargins left="0.7" right="0.7" top="0.75" bottom="0.75" header="0.3" footer="0.3"/>
</worksheet>
</file>

<file path=xl/worksheets/sheet183.xml><?xml version="1.0" encoding="utf-8"?>
<worksheet xmlns="http://schemas.openxmlformats.org/spreadsheetml/2006/main" xmlns:r="http://schemas.openxmlformats.org/officeDocument/2006/relationships">
  <dimension ref="A1:G6"/>
  <sheetViews>
    <sheetView workbookViewId="0">
      <selection activeCell="D4" sqref="D4"/>
    </sheetView>
  </sheetViews>
  <sheetFormatPr defaultRowHeight="15"/>
  <cols>
    <col min="1" max="1" width="12.00" customWidth="1"/>
    <col min="2" max="2" width="22.00" customWidth="1"/>
    <col min="3" max="3" width="14.00" customWidth="1"/>
    <col min="4" max="4" width="30.00" customWidth="1"/>
    <col min="5" max="5" width="8.00" customWidth="1"/>
    <col min="7" max="7" width="12.00" customWidth="1"/>
  </cols>
  <sheetData>
    <row r="1">
      <c r="A1" s="1" t="inlineStr">
        <is>
          <t>SITE PHOTO LOG — WEEK 32/2026</t>
        </is>
      </c>
      <c r="G1" s="106" t="inlineStr">
        <is>
          <t>← Index</t>
        </is>
      </c>
    </row>
    <row r="3">
      <c r="A3" s="3" t="inlineStr">
        <is>
          <t>Date</t>
        </is>
      </c>
      <c r="B3" s="3" t="inlineStr">
        <is>
          <t>Location</t>
        </is>
      </c>
      <c r="C3" s="3" t="inlineStr">
        <is>
          <t>Photo</t>
        </is>
      </c>
      <c r="D3" s="3" t="inlineStr">
        <is>
          <t>Remarks</t>
        </is>
      </c>
    </row>
    <row r="4" ht="48.00" customHeight="1">
      <c r="A4" s="5">
        <v>46239</v>
      </c>
      <c r="B4" s="47" t="inlineStr">
        <is>
          <t>Level 5 slab, grids 1–3</t>
        </is>
      </c>
      <c r="C4" s="96" t="inlineStr">
        <is>
          <t>photo</t>
        </is>
      </c>
      <c r="D4" s="47" t="inlineStr">
        <is>
          <t>Slab bars Ø10 @150, chairs in place</t>
        </is>
      </c>
    </row>
    <row r="5" ht="48.00" customHeight="1">
      <c r="A5" s="5">
        <v>46240</v>
      </c>
      <c r="B5" s="47" t="inlineStr">
        <is>
          <t>Level 5 slab, grids 3–6</t>
        </is>
      </c>
      <c r="C5" s="96" t="inlineStr">
        <is>
          <t>photo</t>
        </is>
      </c>
      <c r="D5" s="47" t="inlineStr">
        <is>
          <t>Add chairs in panel S5-4</t>
        </is>
      </c>
    </row>
    <row r="6" ht="48.00" customHeight="1">
      <c r="A6" s="5">
        <v>46241</v>
      </c>
      <c r="B6" s="47" t="inlineStr">
        <is>
          <t>Beam D5-12, grid B</t>
        </is>
      </c>
      <c r="C6" s="96" t="inlineStr">
        <is>
          <t>photo</t>
        </is>
      </c>
      <c r="D6" s="47" t="inlineStr">
        <is>
          <t>Accepted, concreting approved</t>
        </is>
      </c>
    </row>
  </sheetData>
  <hyperlinks>
    <hyperlink ref="G1" location="'Index'!A210" display="← Index"/>
  </hyperlinks>
  <pageMargins left="0.7" right="0.7" top="0.75" bottom="0.75" header="0.3" footer="0.3"/>
</worksheet>
</file>

<file path=xl/worksheets/sheet184.xml><?xml version="1.0" encoding="utf-8"?>
<worksheet xmlns="http://schemas.openxmlformats.org/spreadsheetml/2006/main" xmlns:r="http://schemas.openxmlformats.org/officeDocument/2006/relationships">
  <dimension ref="A1:G15"/>
  <sheetViews>
    <sheetView workbookViewId="0">
      <selection activeCell="A4" sqref="A4:E13"/>
    </sheetView>
  </sheetViews>
  <sheetFormatPr defaultRowHeight="15"/>
  <cols>
    <col min="1" max="1" width="5.00" customWidth="1"/>
    <col min="2" max="2" width="40.00" customWidth="1"/>
    <col min="3" max="3" width="7.00" customWidth="1"/>
    <col min="4" max="4" width="11.00" customWidth="1"/>
    <col min="5" max="5" width="18.00" customWidth="1"/>
    <col min="7" max="7" width="12.00" customWidth="1"/>
  </cols>
  <sheetData>
    <row r="1">
      <c r="A1" s="1" t="inlineStr">
        <is>
          <t>VARIATION QUANTITIES — BATCH 3</t>
        </is>
      </c>
      <c r="G1" s="106" t="inlineStr">
        <is>
          <t>← Index</t>
        </is>
      </c>
    </row>
    <row r="3">
      <c r="A3" s="3" t="inlineStr">
        <is>
          <t>No.</t>
        </is>
      </c>
      <c r="B3" s="3" t="inlineStr">
        <is>
          <t>Work item</t>
        </is>
      </c>
      <c r="C3" s="3" t="inlineStr">
        <is>
          <t>Unit</t>
        </is>
      </c>
      <c r="D3" s="3" t="inlineStr">
        <is>
          <t>Quantity</t>
        </is>
      </c>
      <c r="E3" s="3" t="inlineStr">
        <is>
          <t>Remarks</t>
        </is>
      </c>
    </row>
    <row r="4">
      <c r="A4" s="6">
        <v>1</v>
      </c>
      <c r="B4" s="4" t="inlineStr">
        <is>
          <t>Extra excavation for manholes</t>
        </is>
      </c>
      <c r="C4" s="6" t="inlineStr">
        <is>
          <t>m³</t>
        </is>
      </c>
      <c r="D4" s="32">
        <v>12.5</v>
      </c>
      <c r="E4" s="4"/>
    </row>
    <row r="5">
      <c r="A5" s="6">
        <v>2</v>
      </c>
      <c r="B5" s="4" t="inlineStr">
        <is>
          <t>Blinding concrete to manholes, M100</t>
        </is>
      </c>
      <c r="C5" s="6" t="inlineStr">
        <is>
          <t>m³</t>
        </is>
      </c>
      <c r="D5" s="32">
        <v>1.8</v>
      </c>
      <c r="E5" s="4"/>
    </row>
    <row r="6">
      <c r="A6" s="6">
        <v>3</v>
      </c>
      <c r="B6" s="4" t="inlineStr">
        <is>
          <t>Solid-brick manhole walls, M75 mortar</t>
        </is>
      </c>
      <c r="C6" s="6" t="inlineStr">
        <is>
          <t>m³</t>
        </is>
      </c>
      <c r="D6" s="32">
        <v>3.2</v>
      </c>
      <c r="E6" s="4"/>
    </row>
    <row r="7">
      <c r="A7" s="6">
        <v>4</v>
      </c>
      <c r="B7" s="4" t="inlineStr">
        <is>
          <t>Manhole wall plaster 2 cm, M75</t>
        </is>
      </c>
      <c r="C7" s="6" t="inlineStr">
        <is>
          <t>m²</t>
        </is>
      </c>
      <c r="D7" s="32">
        <v>24.6</v>
      </c>
      <c r="E7" s="4"/>
    </row>
    <row r="8">
      <c r="A8" s="6">
        <v>5</v>
      </c>
      <c r="B8" s="4" t="inlineStr">
        <is>
          <t>RC manhole cover 1.0×1.0 m</t>
        </is>
      </c>
      <c r="C8" s="6" t="inlineStr">
        <is>
          <t>pcs</t>
        </is>
      </c>
      <c r="D8" s="4">
        <v>4</v>
      </c>
      <c r="E8" s="4" t="inlineStr">
        <is>
          <t>Per site record</t>
        </is>
      </c>
    </row>
    <row r="9">
      <c r="A9" s="4"/>
      <c r="B9" s="4"/>
      <c r="C9" s="4"/>
      <c r="D9" s="4"/>
      <c r="E9" s="4"/>
    </row>
    <row r="10">
      <c r="A10" s="4"/>
      <c r="B10" s="4"/>
      <c r="C10" s="4"/>
      <c r="D10" s="4"/>
      <c r="E10" s="4"/>
    </row>
    <row r="11">
      <c r="A11" s="4"/>
      <c r="B11" s="4"/>
      <c r="C11" s="4"/>
      <c r="D11" s="4"/>
      <c r="E11" s="4"/>
    </row>
    <row r="12">
      <c r="A12" s="4"/>
      <c r="B12" s="4"/>
      <c r="C12" s="4"/>
      <c r="D12" s="4"/>
      <c r="E12" s="4"/>
    </row>
    <row r="13">
      <c r="A13" s="4"/>
      <c r="B13" s="4"/>
      <c r="C13" s="4"/>
      <c r="D13" s="4"/>
      <c r="E13" s="4"/>
    </row>
    <row r="15">
      <c r="B15" s="29" t="inlineStr">
        <is>
          <t>SUPERVISION CONSULTANT</t>
        </is>
      </c>
      <c r="D15" s="29" t="inlineStr">
        <is>
          <t>CONTRACTOR</t>
        </is>
      </c>
    </row>
  </sheetData>
  <mergeCells count="1">
    <mergeCell ref="D15:E15"/>
  </mergeCells>
  <hyperlinks>
    <hyperlink ref="G1" location="'Index'!A211" display="← Index"/>
  </hyperlinks>
  <pageMargins left="0.7" right="0.7" top="0.75" bottom="0.75" header="0.3" footer="0.3"/>
</worksheet>
</file>

<file path=xl/worksheets/sheet185.xml><?xml version="1.0" encoding="utf-8"?>
<worksheet xmlns="http://schemas.openxmlformats.org/spreadsheetml/2006/main" xmlns:r="http://schemas.openxmlformats.org/officeDocument/2006/relationships">
  <dimension ref="A1:H7"/>
  <sheetViews>
    <sheetView workbookViewId="0">
      <selection activeCell="C5" sqref="C5"/>
    </sheetView>
  </sheetViews>
  <sheetFormatPr defaultRowHeight="15"/>
  <cols>
    <col min="1" max="1" width="4.00" customWidth="1"/>
    <col min="2" max="2" width="9.00" customWidth="1"/>
    <col min="3" max="3" width="11.00" customWidth="1"/>
    <col min="4" max="4" width="11.00" customWidth="1"/>
    <col min="5" max="5" width="11.00" customWidth="1"/>
    <col min="6" max="6" width="22.00" customWidth="1"/>
    <col min="8" max="8" width="12.00" customWidth="1"/>
  </cols>
  <sheetData>
    <row r="1">
      <c r="A1" s="1" t="inlineStr">
        <is>
          <t>MONTHLY CONCRETE QUANTITIES (m3)</t>
        </is>
      </c>
      <c r="H1" s="106" t="inlineStr">
        <is>
          <t>← Index</t>
        </is>
      </c>
    </row>
    <row r="4">
      <c r="A4" s="3" t="inlineStr">
        <is>
          <t>TT</t>
        </is>
      </c>
      <c r="B4" s="3" t="inlineStr">
        <is>
          <t>Code</t>
        </is>
      </c>
      <c r="C4" s="3" t="inlineStr">
        <is>
          <t>Aug 2026</t>
        </is>
      </c>
      <c r="D4" s="3" t="inlineStr">
        <is>
          <t>Sep 2026</t>
        </is>
      </c>
      <c r="E4" s="3" t="inlineStr">
        <is>
          <t>Oct 2026</t>
        </is>
      </c>
      <c r="F4" s="3" t="inlineStr">
        <is>
          <t>Description</t>
        </is>
      </c>
    </row>
    <row r="5">
      <c r="A5" s="6">
        <v>1</v>
      </c>
      <c r="B5" s="6" t="inlineStr">
        <is>
          <t>BT.M</t>
        </is>
      </c>
      <c r="C5" s="36">
        <f>SUMPRODUCT((MaCV=$B5)*(Thang=C$4)*KhoiLuong)</f>
        <v>142.5</v>
      </c>
      <c r="D5" s="14">
        <f>SUMPRODUCT((MaCV=$B5)*(Thang=D$4)*KhoiLuong)</f>
        <v>96.0</v>
      </c>
      <c r="E5" s="14">
        <f>SUMPRODUCT((MaCV=$B5)*(Thang=E$4)*KhoiLuong)</f>
        <v>48.0</v>
      </c>
      <c r="F5" s="4" t="inlineStr">
        <is>
          <t>Foundation concrete</t>
        </is>
      </c>
    </row>
    <row r="6">
      <c r="A6" s="6">
        <v>2</v>
      </c>
      <c r="B6" s="6" t="inlineStr">
        <is>
          <t>BT.C</t>
        </is>
      </c>
      <c r="C6" s="14">
        <f>SUMPRODUCT((MaCV=$B6)*(Thang=C$4)*KhoiLuong)</f>
        <v>0.0</v>
      </c>
      <c r="D6" s="36">
        <f>SUMPRODUCT((MaCV=$B6)*(Thang=D$4)*KhoiLuong)</f>
        <v>38.4</v>
      </c>
      <c r="E6" s="36">
        <f>SUMPRODUCT((MaCV=$B6)*(Thang=E$4)*KhoiLuong)</f>
        <v>57.6</v>
      </c>
      <c r="F6" s="4" t="inlineStr">
        <is>
          <t>Column concrete</t>
        </is>
      </c>
    </row>
    <row r="7">
      <c r="A7" s="6">
        <v>3</v>
      </c>
      <c r="B7" s="6" t="inlineStr">
        <is>
          <t>BT.S</t>
        </is>
      </c>
      <c r="C7" s="14">
        <f>SUMPRODUCT((MaCV=$B7)*(Thang=C$4)*KhoiLuong)</f>
        <v>0.0</v>
      </c>
      <c r="D7" s="14">
        <f>SUMPRODUCT((MaCV=$B7)*(Thang=D$4)*KhoiLuong)</f>
        <v>0.0</v>
      </c>
      <c r="E7" s="36">
        <f>SUMPRODUCT((MaCV=$B7)*(Thang=E$4)*KhoiLuong)</f>
        <v>112.8</v>
      </c>
      <c r="F7" s="4" t="inlineStr">
        <is>
          <t>Slab concrete</t>
        </is>
      </c>
    </row>
  </sheetData>
  <hyperlinks>
    <hyperlink ref="H1" location="'Index'!A214" display="← Index"/>
  </hyperlinks>
  <pageMargins left="0.7" right="0.7" top="0.75" bottom="0.75" header="0.3" footer="0.3"/>
</worksheet>
</file>

<file path=xl/worksheets/sheet186.xml><?xml version="1.0" encoding="utf-8"?>
<worksheet xmlns="http://schemas.openxmlformats.org/spreadsheetml/2006/main" xmlns:r="http://schemas.openxmlformats.org/officeDocument/2006/relationships">
  <dimension ref="A1:F10"/>
  <sheetViews>
    <sheetView workbookViewId="0"/>
  </sheetViews>
  <sheetFormatPr defaultRowHeight="15"/>
  <cols>
    <col min="1" max="1" width="12.00" customWidth="1"/>
    <col min="2" max="2" width="10.00" customWidth="1"/>
    <col min="3" max="3" width="12.00" customWidth="1"/>
    <col min="4" max="4" width="12.00" customWidth="1"/>
    <col min="6" max="6" width="12.00" customWidth="1"/>
  </cols>
  <sheetData>
    <row r="1">
      <c r="A1" s="1" t="inlineStr">
        <is>
          <t>CONCRETE POUR LOG (m3) — source of the named ranges MaCV, Thang, KhoiLuong</t>
        </is>
      </c>
      <c r="F1" s="106" t="inlineStr">
        <is>
          <t>← Index</t>
        </is>
      </c>
    </row>
    <row r="3">
      <c r="A3" s="3" t="inlineStr">
        <is>
          <t>Pour date</t>
        </is>
      </c>
      <c r="B3" s="3" t="inlineStr">
        <is>
          <t>Item</t>
        </is>
      </c>
      <c r="C3" s="3" t="inlineStr">
        <is>
          <t>Month</t>
        </is>
      </c>
      <c r="D3" s="3" t="inlineStr">
        <is>
          <t>Volume</t>
        </is>
      </c>
    </row>
    <row r="4">
      <c r="A4" s="97">
        <v>46246</v>
      </c>
      <c r="B4" s="6" t="inlineStr">
        <is>
          <t>BT.M</t>
        </is>
      </c>
      <c r="C4" s="6" t="inlineStr">
        <is>
          <t>Aug 2026</t>
        </is>
      </c>
      <c r="D4" s="32">
        <v>86.5</v>
      </c>
    </row>
    <row r="5">
      <c r="A5" s="97">
        <v>46260</v>
      </c>
      <c r="B5" s="6" t="inlineStr">
        <is>
          <t>BT.M</t>
        </is>
      </c>
      <c r="C5" s="6" t="inlineStr">
        <is>
          <t>Aug 2026</t>
        </is>
      </c>
      <c r="D5" s="4">
        <v>56</v>
      </c>
    </row>
    <row r="6">
      <c r="A6" s="97">
        <v>46274</v>
      </c>
      <c r="B6" s="6" t="inlineStr">
        <is>
          <t>BT.M</t>
        </is>
      </c>
      <c r="C6" s="6" t="inlineStr">
        <is>
          <t>Sep 2026</t>
        </is>
      </c>
      <c r="D6" s="4">
        <v>96</v>
      </c>
    </row>
    <row r="7">
      <c r="A7" s="97">
        <v>46283</v>
      </c>
      <c r="B7" s="6" t="inlineStr">
        <is>
          <t>BT.C</t>
        </is>
      </c>
      <c r="C7" s="6" t="inlineStr">
        <is>
          <t>Sep 2026</t>
        </is>
      </c>
      <c r="D7" s="32">
        <v>38.4</v>
      </c>
    </row>
    <row r="8">
      <c r="A8" s="97">
        <v>46302</v>
      </c>
      <c r="B8" s="6" t="inlineStr">
        <is>
          <t>BT.M</t>
        </is>
      </c>
      <c r="C8" s="6" t="inlineStr">
        <is>
          <t>Oct 2026</t>
        </is>
      </c>
      <c r="D8" s="4">
        <v>48</v>
      </c>
    </row>
    <row r="9">
      <c r="A9" s="97">
        <v>46309</v>
      </c>
      <c r="B9" s="6" t="inlineStr">
        <is>
          <t>BT.C</t>
        </is>
      </c>
      <c r="C9" s="6" t="inlineStr">
        <is>
          <t>Oct 2026</t>
        </is>
      </c>
      <c r="D9" s="32">
        <v>57.6</v>
      </c>
    </row>
    <row r="10">
      <c r="A10" s="97">
        <v>46316</v>
      </c>
      <c r="B10" s="6" t="inlineStr">
        <is>
          <t>BT.S</t>
        </is>
      </c>
      <c r="C10" s="6" t="inlineStr">
        <is>
          <t>Oct 2026</t>
        </is>
      </c>
      <c r="D10" s="32">
        <v>112.8</v>
      </c>
    </row>
  </sheetData>
  <hyperlinks>
    <hyperlink ref="F1" location="'Index'!A214" display="← Index"/>
  </hyperlinks>
  <pageMargins left="0.7" right="0.7" top="0.75" bottom="0.75" header="0.3" footer="0.3"/>
</worksheet>
</file>

<file path=xl/worksheets/sheet187.xml><?xml version="1.0" encoding="utf-8"?>
<worksheet xmlns="http://schemas.openxmlformats.org/spreadsheetml/2006/main" xmlns:r="http://schemas.openxmlformats.org/officeDocument/2006/relationships">
  <dimension ref="A1:I7"/>
  <sheetViews>
    <sheetView workbookViewId="0">
      <selection activeCell="F6" sqref="F6"/>
    </sheetView>
  </sheetViews>
  <sheetFormatPr defaultRowHeight="15"/>
  <cols>
    <col min="1" max="1" width="4.00" customWidth="1"/>
    <col min="2" max="2" width="9.00" customWidth="1"/>
    <col min="3" max="3" width="24.00" customWidth="1"/>
    <col min="4" max="4" width="5.00" customWidth="1"/>
    <col min="5" max="5" width="8.00" customWidth="1"/>
    <col min="6" max="6" width="12.00" customWidth="1"/>
    <col min="7" max="7" width="14.00" customWidth="1"/>
    <col min="9" max="9" width="12.00" customWidth="1"/>
  </cols>
  <sheetData>
    <row r="1">
      <c r="A1" s="1" t="inlineStr">
        <is>
          <t>FOUNDATION ESTIMATE</t>
        </is>
      </c>
      <c r="I1" s="106" t="inlineStr">
        <is>
          <t>← Index</t>
        </is>
      </c>
    </row>
    <row r="3">
      <c r="A3" s="3" t="inlineStr">
        <is>
          <t>TT</t>
        </is>
      </c>
      <c r="B3" s="3" t="inlineStr">
        <is>
          <t>Rate code</t>
        </is>
      </c>
      <c r="C3" s="3" t="inlineStr">
        <is>
          <t>Item</t>
        </is>
      </c>
      <c r="D3" s="3" t="inlineStr">
        <is>
          <t>Unit</t>
        </is>
      </c>
      <c r="E3" s="3" t="inlineStr">
        <is>
          <t>Qty</t>
        </is>
      </c>
      <c r="F3" s="3" t="inlineStr">
        <is>
          <t>Unit rate</t>
        </is>
      </c>
      <c r="G3" s="3" t="inlineStr">
        <is>
          <t>Amount</t>
        </is>
      </c>
    </row>
    <row r="4">
      <c r="A4" s="6">
        <v>1</v>
      </c>
      <c r="B4" s="4" t="inlineStr">
        <is>
          <t>BT01</t>
        </is>
      </c>
      <c r="C4" s="4" t="inlineStr">
        <is>
          <t>Blinding concrete M100</t>
        </is>
      </c>
      <c r="D4" s="6" t="inlineStr">
        <is>
          <t>m3</t>
        </is>
      </c>
      <c r="E4" s="36">
        <v>18.6</v>
      </c>
      <c r="F4" s="15">
        <f>VLOOKUP(B4,DonGia!A:D,4,0)</f>
        <v>1320000.0</v>
      </c>
      <c r="G4" s="15">
        <f>E4*F4</f>
        <v>24552000.0</v>
      </c>
    </row>
    <row r="5">
      <c r="A5" s="6">
        <v>2</v>
      </c>
      <c r="B5" s="4" t="inlineStr">
        <is>
          <t>BT02</t>
        </is>
      </c>
      <c r="C5" s="4" t="inlineStr">
        <is>
          <t>Foundation concrete M300</t>
        </is>
      </c>
      <c r="D5" s="6" t="inlineStr">
        <is>
          <t>m3</t>
        </is>
      </c>
      <c r="E5" s="36">
        <v>286.5</v>
      </c>
      <c r="F5" s="15">
        <f>VLOOKUP(B5,DonGia!A:D,4,0)</f>
        <v>1850000.0</v>
      </c>
      <c r="G5" s="15">
        <f>E5*F5</f>
        <v>530025000.0</v>
      </c>
    </row>
    <row r="6">
      <c r="A6" s="6">
        <v>3</v>
      </c>
      <c r="B6" s="4" t="inlineStr">
        <is>
          <t xml:space="preserve">CT01 </t>
        </is>
      </c>
      <c r="C6" s="4" t="inlineStr">
        <is>
          <t>Foundation rebar</t>
        </is>
      </c>
      <c r="D6" s="6" t="inlineStr">
        <is>
          <t>t</t>
        </is>
      </c>
      <c r="E6" s="36">
        <v>34.2</v>
      </c>
      <c r="F6" s="6" t="e">
        <f>VLOOKUP(B6,DonGia!A:D,4,0)</f>
        <v>#N/A</v>
      </c>
      <c r="G6" s="6" t="e">
        <f>E6*F6</f>
        <v>#N/A</v>
      </c>
    </row>
    <row r="7">
      <c r="A7" s="6">
        <v>4</v>
      </c>
      <c r="B7" s="4" t="inlineStr">
        <is>
          <t>VK01</t>
        </is>
      </c>
      <c r="C7" s="4" t="inlineStr">
        <is>
          <t>Foundation formwork</t>
        </is>
      </c>
      <c r="D7" s="6" t="inlineStr">
        <is>
          <t>m2</t>
        </is>
      </c>
      <c r="E7" s="14">
        <v>236</v>
      </c>
      <c r="F7" s="15">
        <f>VLOOKUP(B7,DonGia!A:D,4,0)</f>
        <v>185000.0</v>
      </c>
      <c r="G7" s="15">
        <f>E7*F7</f>
        <v>43660000.0</v>
      </c>
    </row>
  </sheetData>
  <hyperlinks>
    <hyperlink ref="I1" location="'Index'!A215" display="← Index"/>
  </hyperlinks>
  <pageMargins left="0.7" right="0.7" top="0.75" bottom="0.75" header="0.3" footer="0.3"/>
</worksheet>
</file>

<file path=xl/worksheets/sheet188.xml><?xml version="1.0" encoding="utf-8"?>
<worksheet xmlns="http://schemas.openxmlformats.org/spreadsheetml/2006/main" xmlns:r="http://schemas.openxmlformats.org/officeDocument/2006/relationships">
  <dimension ref="A1:F7"/>
  <sheetViews>
    <sheetView workbookViewId="0"/>
  </sheetViews>
  <sheetFormatPr defaultRowHeight="15"/>
  <cols>
    <col min="1" max="1" width="9.00" customWidth="1"/>
    <col min="2" max="2" width="28.00" customWidth="1"/>
    <col min="3" max="3" width="7.00" customWidth="1"/>
    <col min="4" max="4" width="13.00" customWidth="1"/>
    <col min="6" max="6" width="12.00" customWidth="1"/>
  </cols>
  <sheetData>
    <row r="1">
      <c r="A1" s="1" t="inlineStr">
        <is>
          <t>UNIT RATES — FOUNDATIONS</t>
        </is>
      </c>
      <c r="F1" s="106" t="inlineStr">
        <is>
          <t>← Index</t>
        </is>
      </c>
    </row>
    <row r="3">
      <c r="A3" s="3" t="inlineStr">
        <is>
          <t>Code</t>
        </is>
      </c>
      <c r="B3" s="3" t="inlineStr">
        <is>
          <t>Item</t>
        </is>
      </c>
      <c r="C3" s="3" t="inlineStr">
        <is>
          <t>Unit</t>
        </is>
      </c>
      <c r="D3" s="3" t="inlineStr">
        <is>
          <t>Unit rate</t>
        </is>
      </c>
    </row>
    <row r="4">
      <c r="A4" s="4" t="inlineStr">
        <is>
          <t>BT01</t>
        </is>
      </c>
      <c r="B4" s="4" t="inlineStr">
        <is>
          <t>Blinding concrete M100</t>
        </is>
      </c>
      <c r="C4" s="6" t="inlineStr">
        <is>
          <t>m3</t>
        </is>
      </c>
      <c r="D4" s="33">
        <v>1320000</v>
      </c>
    </row>
    <row r="5">
      <c r="A5" s="4" t="inlineStr">
        <is>
          <t>BT02</t>
        </is>
      </c>
      <c r="B5" s="4" t="inlineStr">
        <is>
          <t>Foundation concrete M300</t>
        </is>
      </c>
      <c r="C5" s="6" t="inlineStr">
        <is>
          <t>m3</t>
        </is>
      </c>
      <c r="D5" s="33">
        <v>1850000</v>
      </c>
    </row>
    <row r="6">
      <c r="A6" s="4" t="inlineStr">
        <is>
          <t>CT01</t>
        </is>
      </c>
      <c r="B6" s="4" t="inlineStr">
        <is>
          <t>Foundation rebar</t>
        </is>
      </c>
      <c r="C6" s="6" t="inlineStr">
        <is>
          <t>t</t>
        </is>
      </c>
      <c r="D6" s="33">
        <v>21500000</v>
      </c>
    </row>
    <row r="7">
      <c r="A7" s="4" t="inlineStr">
        <is>
          <t>VK01</t>
        </is>
      </c>
      <c r="B7" s="4" t="inlineStr">
        <is>
          <t>Foundation formwork</t>
        </is>
      </c>
      <c r="C7" s="6" t="inlineStr">
        <is>
          <t>m2</t>
        </is>
      </c>
      <c r="D7" s="33">
        <v>185000</v>
      </c>
    </row>
  </sheetData>
  <hyperlinks>
    <hyperlink ref="F1" location="'Index'!A215" display="← Index"/>
  </hyperlinks>
  <pageMargins left="0.7" right="0.7" top="0.75" bottom="0.75" header="0.3" footer="0.3"/>
</worksheet>
</file>

<file path=xl/worksheets/sheet189.xml><?xml version="1.0" encoding="utf-8"?>
<worksheet xmlns="http://schemas.openxmlformats.org/spreadsheetml/2006/main" xmlns:r="http://schemas.openxmlformats.org/officeDocument/2006/relationships">
  <dimension ref="A1:D7"/>
  <sheetViews>
    <sheetView workbookViewId="0">
      <selection activeCell="B4" sqref="B4:B7"/>
    </sheetView>
  </sheetViews>
  <sheetFormatPr defaultRowHeight="15"/>
  <cols>
    <col min="1" max="1" width="11.00" customWidth="1"/>
    <col min="2" max="2" width="66.00" customWidth="1"/>
    <col min="4" max="4" width="12.00" customWidth="1"/>
  </cols>
  <sheetData>
    <row r="1">
      <c r="A1" s="1" t="inlineStr">
        <is>
          <t>INSPECTION LOG — 9-STOREY OFFICE BUILDING</t>
        </is>
      </c>
      <c r="D1" s="106" t="inlineStr">
        <is>
          <t>← Index</t>
        </is>
      </c>
    </row>
    <row r="3">
      <c r="A3" s="3" t="inlineStr">
        <is>
          <t>Date</t>
        </is>
      </c>
      <c r="B3" s="3" t="inlineStr">
        <is>
          <t>Work description</t>
        </is>
      </c>
    </row>
    <row r="4">
      <c r="A4" s="5">
        <v>46300</v>
      </c>
      <c r="B4" s="4" t="inlineStr">
        <is>
          <t>inspection of rebar for beam and slab level 3 , meet requirement</t>
        </is>
      </c>
    </row>
    <row r="5">
      <c r="A5" s="5">
        <v>46301</v>
      </c>
      <c r="B5" s="4" t="inlineStr">
        <is>
          <t>formwork erected for column grid A-B ,not cleaned yet</t>
        </is>
      </c>
    </row>
    <row r="6">
      <c r="A6" s="5">
        <v>46302</v>
      </c>
      <c r="B6" s="4" t="inlineStr">
        <is>
          <t>footing M1 , M2 concrete poured finish at 16h ,curing by water</t>
        </is>
      </c>
    </row>
    <row r="7">
      <c r="A7" s="5">
        <v>46303</v>
      </c>
      <c r="B7" s="4" t="inlineStr">
        <is>
          <t>check level of footing bottom , agree with design</t>
        </is>
      </c>
    </row>
  </sheetData>
  <hyperlinks>
    <hyperlink ref="D1" location="'Index'!A216" display="← Index"/>
  </hyperlinks>
  <pageMargins left="0.7" right="0.7" top="0.75" bottom="0.75" header="0.3" footer="0.3"/>
</worksheet>
</file>

<file path=xl/worksheets/sheet190.xml><?xml version="1.0" encoding="utf-8"?>
<worksheet xmlns="http://schemas.openxmlformats.org/spreadsheetml/2006/main" xmlns:r="http://schemas.openxmlformats.org/officeDocument/2006/relationships">
  <dimension ref="A1:D5"/>
  <sheetViews>
    <sheetView workbookViewId="0">
      <selection activeCell="B4" sqref="B4"/>
    </sheetView>
  </sheetViews>
  <sheetFormatPr defaultRowHeight="15"/>
  <cols>
    <col min="1" max="1" width="20.00" customWidth="1"/>
    <col min="2" max="2" width="52.00" customWidth="1"/>
    <col min="4" max="4" width="12.00" customWidth="1"/>
  </cols>
  <sheetData>
    <row r="1">
      <c r="A1" s="1" t="inlineStr">
        <is>
          <t>OCCUPATIONAL SAFETY TEST REVISION</t>
        </is>
      </c>
      <c r="D1" s="106" t="inlineStr">
        <is>
          <t>← Index</t>
        </is>
      </c>
    </row>
    <row r="3">
      <c r="A3" s="3" t="inlineStr">
        <is>
          <t>Test page</t>
        </is>
      </c>
      <c r="B3" s="3" t="inlineStr">
        <is>
          <t>Answers</t>
        </is>
      </c>
    </row>
    <row r="4">
      <c r="A4" s="4" t="inlineStr">
        <is>
          <t>Page 1 (Q1–10)</t>
        </is>
      </c>
      <c r="B4" s="4"/>
    </row>
    <row r="5">
      <c r="A5" s="4" t="inlineStr">
        <is>
          <t>Page 2 (Q11–20)</t>
        </is>
      </c>
      <c r="B5" s="4"/>
    </row>
  </sheetData>
  <hyperlinks>
    <hyperlink ref="D1" location="'Index'!A217" display="← Index"/>
  </hyperlinks>
  <pageMargins left="0.7" right="0.7" top="0.75" bottom="0.75" header="0.3" footer="0.3"/>
</worksheet>
</file>

<file path=xl/worksheets/sheet191.xml><?xml version="1.0" encoding="utf-8"?>
<worksheet xmlns="http://schemas.openxmlformats.org/spreadsheetml/2006/main" xmlns:r="http://schemas.openxmlformats.org/officeDocument/2006/relationships">
  <dimension ref="A1:H6"/>
  <sheetViews>
    <sheetView workbookViewId="0">
      <selection activeCell="A3" sqref="A3:F6"/>
    </sheetView>
  </sheetViews>
  <sheetFormatPr defaultRowHeight="15"/>
  <cols>
    <col min="1" max="1" width="6.00" customWidth="1"/>
    <col min="2" max="2" width="24.00" customWidth="1"/>
    <col min="3" max="3" width="6.00" customWidth="1"/>
    <col min="4" max="4" width="10.00" customWidth="1"/>
    <col min="5" max="5" width="11.00" customWidth="1"/>
    <col min="6" max="6" width="9.00" customWidth="1"/>
    <col min="8" max="8" width="12.00" customWidth="1"/>
  </cols>
  <sheetData>
    <row r="1">
      <c r="A1" s="1" t="inlineStr">
        <is>
          <t>FOUNDATION CONCRETE — CHECK AGAINST DRAWINGS</t>
        </is>
      </c>
      <c r="H1" s="106" t="inlineStr">
        <is>
          <t>← Index</t>
        </is>
      </c>
    </row>
    <row r="3">
      <c r="A3" s="3" t="inlineStr">
        <is>
          <t>Code</t>
        </is>
      </c>
      <c r="B3" s="3" t="inlineStr">
        <is>
          <t>Element</t>
        </is>
      </c>
      <c r="C3" s="3" t="inlineStr">
        <is>
          <t>Unit</t>
        </is>
      </c>
      <c r="D3" s="3" t="inlineStr">
        <is>
          <t>Calc. qty</t>
        </is>
      </c>
      <c r="E3" s="3" t="inlineStr">
        <is>
          <t>Drawing qty</t>
        </is>
      </c>
      <c r="F3" s="3" t="inlineStr">
        <is>
          <t>Diff.</t>
        </is>
      </c>
    </row>
    <row r="4">
      <c r="A4" s="6" t="inlineStr">
        <is>
          <t>M1</t>
        </is>
      </c>
      <c r="B4" s="4" t="inlineStr">
        <is>
          <t>Pile caps M1 (8 no.)</t>
        </is>
      </c>
      <c r="C4" s="6" t="inlineStr">
        <is>
          <t>m3</t>
        </is>
      </c>
      <c r="D4" s="14">
        <v>96</v>
      </c>
      <c r="E4" s="14">
        <v>108</v>
      </c>
      <c r="F4" s="98">
        <v>12</v>
      </c>
    </row>
    <row r="5">
      <c r="A5" s="6" t="inlineStr">
        <is>
          <t>M2</t>
        </is>
      </c>
      <c r="B5" s="4" t="inlineStr">
        <is>
          <t>Pile caps M2 (6 no.)</t>
        </is>
      </c>
      <c r="C5" s="6" t="inlineStr">
        <is>
          <t>m3</t>
        </is>
      </c>
      <c r="D5" s="36">
        <v>64.8</v>
      </c>
      <c r="E5" s="36">
        <v>64.8</v>
      </c>
      <c r="F5" s="14">
        <v>0</v>
      </c>
    </row>
    <row r="6">
      <c r="A6" s="6" t="inlineStr">
        <is>
          <t>GM</t>
        </is>
      </c>
      <c r="B6" s="4" t="inlineStr">
        <is>
          <t>Ground beams</t>
        </is>
      </c>
      <c r="C6" s="6" t="inlineStr">
        <is>
          <t>m3</t>
        </is>
      </c>
      <c r="D6" s="36">
        <v>42.8</v>
      </c>
      <c r="E6" s="36">
        <v>42.8</v>
      </c>
      <c r="F6" s="14">
        <v>0</v>
      </c>
    </row>
  </sheetData>
  <hyperlinks>
    <hyperlink ref="H1" location="'Index'!A218" display="← Index"/>
  </hyperlinks>
  <pageMargins left="0.7" right="0.7" top="0.75" bottom="0.75" header="0.3" footer="0.3"/>
</worksheet>
</file>

<file path=docProps/app.xml><?xml version="1.0" encoding="utf-8"?>
<Properties xmlns="http://schemas.openxmlformats.org/officeDocument/2006/extended-properties">
  <Application>Microsoft Excel</Application>
  <Company>DVDAddin</Company>
</Properties>
</file>

<file path=docProps/core.xml><?xml version="1.0" encoding="utf-8"?>
<cp:coreProperties xmlns:cp="http://schemas.openxmlformats.org/package/2006/metadata/core-properties" xmlns:dc="http://purl.org/dc/elements/1.1/" xmlns:dcterms="http://purl.org/dc/terms/" xmlns:xsi="http://www.w3.org/2001/XMLSchema-instance">
  <dc:title>DVDAddin — Command practice workbook</dc:title>
  <dc:creator>DVDAddin</dc:creator>
  <cp:lastModifiedBy>DVDAddin</cp:lastModifiedBy>
  <dcterms:created xsi:type="dcterms:W3CDTF">2026-10-09T00:00:00Z</dcterms:created>
  <dcterms:modified xsi:type="dcterms:W3CDTF">2026-10-09T00:00:00Z</dcterms:modified>
</cp:coreProperties>
</file>